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Excel\"/>
    </mc:Choice>
  </mc:AlternateContent>
  <xr:revisionPtr revIDLastSave="0" documentId="8_{85DA6DBF-5609-48E3-8855-59BA8AD87589}" xr6:coauthVersionLast="46" xr6:coauthVersionMax="46" xr10:uidLastSave="{00000000-0000-0000-0000-000000000000}"/>
  <bookViews>
    <workbookView xWindow="-108" yWindow="-108" windowWidth="23256" windowHeight="12576" firstSheet="1" activeTab="1" xr2:uid="{5625C3E3-260F-4109-B00F-B06AC83D8E18}"/>
  </bookViews>
  <sheets>
    <sheet name="2 tasche (asse verticale)" sheetId="1" r:id="rId1"/>
    <sheet name="3 tasche" sheetId="3" r:id="rId2"/>
    <sheet name="Analisi FEM" sheetId="6" r:id="rId3"/>
    <sheet name="x magneti" sheetId="7" r:id="rId4"/>
    <sheet name="Dimensioni pezzi" sheetId="10" r:id="rId5"/>
    <sheet name="List of Variables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7" l="1"/>
  <c r="E27" i="7"/>
  <c r="K11" i="7" l="1"/>
  <c r="K10" i="7" l="1"/>
  <c r="D4" i="7"/>
  <c r="G4" i="7"/>
  <c r="E28" i="7"/>
  <c r="B15" i="10" l="1"/>
  <c r="L14" i="10"/>
  <c r="F14" i="10" s="1"/>
  <c r="G14" i="10" s="1"/>
  <c r="L13" i="10"/>
  <c r="F13" i="10" s="1"/>
  <c r="G13" i="10" s="1"/>
  <c r="L12" i="10"/>
  <c r="F12" i="10" s="1"/>
  <c r="L11" i="10"/>
  <c r="F11" i="10" s="1"/>
  <c r="L10" i="10"/>
  <c r="F10" i="10" s="1"/>
  <c r="L9" i="10"/>
  <c r="F9" i="10" s="1"/>
  <c r="L8" i="10"/>
  <c r="F8" i="10" s="1"/>
  <c r="L7" i="10"/>
  <c r="F7" i="10" s="1"/>
  <c r="L6" i="10"/>
  <c r="F6" i="10" s="1"/>
  <c r="L5" i="10"/>
  <c r="F5" i="10" s="1"/>
  <c r="L4" i="10"/>
  <c r="F4" i="10" s="1"/>
  <c r="G4" i="10" s="1"/>
  <c r="L3" i="10"/>
  <c r="F3" i="10" s="1"/>
  <c r="L2" i="10"/>
  <c r="F2" i="10" s="1"/>
  <c r="I2" i="10"/>
  <c r="G2" i="10" l="1"/>
  <c r="G6" i="10"/>
  <c r="G3" i="10"/>
  <c r="G8" i="10"/>
  <c r="G12" i="10"/>
  <c r="G10" i="10"/>
  <c r="G7" i="10"/>
  <c r="G11" i="10"/>
  <c r="G15" i="10" s="1"/>
  <c r="G5" i="10"/>
  <c r="G9" i="10"/>
  <c r="L3" i="7" l="1"/>
  <c r="E9" i="7" l="1"/>
  <c r="F9" i="7"/>
  <c r="C27" i="7" s="1"/>
  <c r="C36" i="7" l="1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C293" i="7"/>
  <c r="C294" i="7"/>
  <c r="C295" i="7"/>
  <c r="C296" i="7"/>
  <c r="C297" i="7"/>
  <c r="C298" i="7"/>
  <c r="C299" i="7"/>
  <c r="C300" i="7"/>
  <c r="C301" i="7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C337" i="7"/>
  <c r="C338" i="7"/>
  <c r="C339" i="7"/>
  <c r="C340" i="7"/>
  <c r="C341" i="7"/>
  <c r="C342" i="7"/>
  <c r="C343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C535" i="7"/>
  <c r="C536" i="7"/>
  <c r="C537" i="7"/>
  <c r="C538" i="7"/>
  <c r="C539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C570" i="7"/>
  <c r="C571" i="7"/>
  <c r="C572" i="7"/>
  <c r="C573" i="7"/>
  <c r="C574" i="7"/>
  <c r="C575" i="7"/>
  <c r="C576" i="7"/>
  <c r="C577" i="7"/>
  <c r="C578" i="7"/>
  <c r="C579" i="7"/>
  <c r="C580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C609" i="7"/>
  <c r="C610" i="7"/>
  <c r="C611" i="7"/>
  <c r="C612" i="7"/>
  <c r="C613" i="7"/>
  <c r="C614" i="7"/>
  <c r="C615" i="7"/>
  <c r="C616" i="7"/>
  <c r="C617" i="7"/>
  <c r="C618" i="7"/>
  <c r="C619" i="7"/>
  <c r="C620" i="7"/>
  <c r="C621" i="7"/>
  <c r="C622" i="7"/>
  <c r="C623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C652" i="7"/>
  <c r="C653" i="7"/>
  <c r="C654" i="7"/>
  <c r="C655" i="7"/>
  <c r="C656" i="7"/>
  <c r="C657" i="7"/>
  <c r="C658" i="7"/>
  <c r="C659" i="7"/>
  <c r="C660" i="7"/>
  <c r="C661" i="7"/>
  <c r="C662" i="7"/>
  <c r="C663" i="7"/>
  <c r="C664" i="7"/>
  <c r="C665" i="7"/>
  <c r="C666" i="7"/>
  <c r="C667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C693" i="7"/>
  <c r="C694" i="7"/>
  <c r="C695" i="7"/>
  <c r="C696" i="7"/>
  <c r="C697" i="7"/>
  <c r="C698" i="7"/>
  <c r="C699" i="7"/>
  <c r="C700" i="7"/>
  <c r="C701" i="7"/>
  <c r="C702" i="7"/>
  <c r="C703" i="7"/>
  <c r="C704" i="7"/>
  <c r="C705" i="7"/>
  <c r="C706" i="7"/>
  <c r="C707" i="7"/>
  <c r="C708" i="7"/>
  <c r="C709" i="7"/>
  <c r="C710" i="7"/>
  <c r="C711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C734" i="7"/>
  <c r="C735" i="7"/>
  <c r="C736" i="7"/>
  <c r="C737" i="7"/>
  <c r="C738" i="7"/>
  <c r="C739" i="7"/>
  <c r="C740" i="7"/>
  <c r="C741" i="7"/>
  <c r="C742" i="7"/>
  <c r="C743" i="7"/>
  <c r="C744" i="7"/>
  <c r="C745" i="7"/>
  <c r="C746" i="7"/>
  <c r="C747" i="7"/>
  <c r="C748" i="7"/>
  <c r="C749" i="7"/>
  <c r="C750" i="7"/>
  <c r="C751" i="7"/>
  <c r="C752" i="7"/>
  <c r="C753" i="7"/>
  <c r="C754" i="7"/>
  <c r="C755" i="7"/>
  <c r="C756" i="7"/>
  <c r="C757" i="7"/>
  <c r="C758" i="7"/>
  <c r="C759" i="7"/>
  <c r="C760" i="7"/>
  <c r="C761" i="7"/>
  <c r="C762" i="7"/>
  <c r="C763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C777" i="7"/>
  <c r="C778" i="7"/>
  <c r="C779" i="7"/>
  <c r="C780" i="7"/>
  <c r="C781" i="7"/>
  <c r="C782" i="7"/>
  <c r="C783" i="7"/>
  <c r="C784" i="7"/>
  <c r="C785" i="7"/>
  <c r="C786" i="7"/>
  <c r="C787" i="7"/>
  <c r="C788" i="7"/>
  <c r="C789" i="7"/>
  <c r="C790" i="7"/>
  <c r="C791" i="7"/>
  <c r="C792" i="7"/>
  <c r="C793" i="7"/>
  <c r="C794" i="7"/>
  <c r="C795" i="7"/>
  <c r="C796" i="7"/>
  <c r="C797" i="7"/>
  <c r="C798" i="7"/>
  <c r="C799" i="7"/>
  <c r="C800" i="7"/>
  <c r="C801" i="7"/>
  <c r="C802" i="7"/>
  <c r="C803" i="7"/>
  <c r="C804" i="7"/>
  <c r="C805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C821" i="7"/>
  <c r="C822" i="7"/>
  <c r="C823" i="7"/>
  <c r="C824" i="7"/>
  <c r="C825" i="7"/>
  <c r="C826" i="7"/>
  <c r="C827" i="7"/>
  <c r="C828" i="7"/>
  <c r="C829" i="7"/>
  <c r="C830" i="7"/>
  <c r="C831" i="7"/>
  <c r="C832" i="7"/>
  <c r="C833" i="7"/>
  <c r="C834" i="7"/>
  <c r="C835" i="7"/>
  <c r="C836" i="7"/>
  <c r="C837" i="7"/>
  <c r="C838" i="7"/>
  <c r="C839" i="7"/>
  <c r="C840" i="7"/>
  <c r="C841" i="7"/>
  <c r="C842" i="7"/>
  <c r="C843" i="7"/>
  <c r="C844" i="7"/>
  <c r="C845" i="7"/>
  <c r="C846" i="7"/>
  <c r="C847" i="7"/>
  <c r="C848" i="7"/>
  <c r="C849" i="7"/>
  <c r="C850" i="7"/>
  <c r="C851" i="7"/>
  <c r="C852" i="7"/>
  <c r="C853" i="7"/>
  <c r="C854" i="7"/>
  <c r="C855" i="7"/>
  <c r="C856" i="7"/>
  <c r="C857" i="7"/>
  <c r="C858" i="7"/>
  <c r="C859" i="7"/>
  <c r="C860" i="7"/>
  <c r="C861" i="7"/>
  <c r="C862" i="7"/>
  <c r="C863" i="7"/>
  <c r="C864" i="7"/>
  <c r="C865" i="7"/>
  <c r="C866" i="7"/>
  <c r="C867" i="7"/>
  <c r="C868" i="7"/>
  <c r="C869" i="7"/>
  <c r="C870" i="7"/>
  <c r="C871" i="7"/>
  <c r="C872" i="7"/>
  <c r="C873" i="7"/>
  <c r="C874" i="7"/>
  <c r="C875" i="7"/>
  <c r="C876" i="7"/>
  <c r="C877" i="7"/>
  <c r="C878" i="7"/>
  <c r="C879" i="7"/>
  <c r="C880" i="7"/>
  <c r="C881" i="7"/>
  <c r="C882" i="7"/>
  <c r="C883" i="7"/>
  <c r="C884" i="7"/>
  <c r="C885" i="7"/>
  <c r="C886" i="7"/>
  <c r="C887" i="7"/>
  <c r="C888" i="7"/>
  <c r="C889" i="7"/>
  <c r="C890" i="7"/>
  <c r="C891" i="7"/>
  <c r="C892" i="7"/>
  <c r="C893" i="7"/>
  <c r="C894" i="7"/>
  <c r="C895" i="7"/>
  <c r="C896" i="7"/>
  <c r="C897" i="7"/>
  <c r="C898" i="7"/>
  <c r="C899" i="7"/>
  <c r="C900" i="7"/>
  <c r="C901" i="7"/>
  <c r="C902" i="7"/>
  <c r="C903" i="7"/>
  <c r="C904" i="7"/>
  <c r="C905" i="7"/>
  <c r="C906" i="7"/>
  <c r="C907" i="7"/>
  <c r="C908" i="7"/>
  <c r="C909" i="7"/>
  <c r="C910" i="7"/>
  <c r="C911" i="7"/>
  <c r="C912" i="7"/>
  <c r="C913" i="7"/>
  <c r="C914" i="7"/>
  <c r="C915" i="7"/>
  <c r="C916" i="7"/>
  <c r="C917" i="7"/>
  <c r="C918" i="7"/>
  <c r="C919" i="7"/>
  <c r="C920" i="7"/>
  <c r="C921" i="7"/>
  <c r="C922" i="7"/>
  <c r="C923" i="7"/>
  <c r="C924" i="7"/>
  <c r="C925" i="7"/>
  <c r="C926" i="7"/>
  <c r="C927" i="7"/>
  <c r="C928" i="7"/>
  <c r="C929" i="7"/>
  <c r="C930" i="7"/>
  <c r="C931" i="7"/>
  <c r="C932" i="7"/>
  <c r="C933" i="7"/>
  <c r="C934" i="7"/>
  <c r="C935" i="7"/>
  <c r="C936" i="7"/>
  <c r="C937" i="7"/>
  <c r="C938" i="7"/>
  <c r="C939" i="7"/>
  <c r="C940" i="7"/>
  <c r="C941" i="7"/>
  <c r="C942" i="7"/>
  <c r="C943" i="7"/>
  <c r="C944" i="7"/>
  <c r="C945" i="7"/>
  <c r="C946" i="7"/>
  <c r="C947" i="7"/>
  <c r="C948" i="7"/>
  <c r="C949" i="7"/>
  <c r="C950" i="7"/>
  <c r="C951" i="7"/>
  <c r="C952" i="7"/>
  <c r="C953" i="7"/>
  <c r="C954" i="7"/>
  <c r="C955" i="7"/>
  <c r="C956" i="7"/>
  <c r="C957" i="7"/>
  <c r="C958" i="7"/>
  <c r="C959" i="7"/>
  <c r="C960" i="7"/>
  <c r="C961" i="7"/>
  <c r="C962" i="7"/>
  <c r="C963" i="7"/>
  <c r="C964" i="7"/>
  <c r="C965" i="7"/>
  <c r="C966" i="7"/>
  <c r="C967" i="7"/>
  <c r="C968" i="7"/>
  <c r="C969" i="7"/>
  <c r="C970" i="7"/>
  <c r="C971" i="7"/>
  <c r="C972" i="7"/>
  <c r="C973" i="7"/>
  <c r="C974" i="7"/>
  <c r="C975" i="7"/>
  <c r="C976" i="7"/>
  <c r="C977" i="7"/>
  <c r="C978" i="7"/>
  <c r="C979" i="7"/>
  <c r="C980" i="7"/>
  <c r="C981" i="7"/>
  <c r="C982" i="7"/>
  <c r="C983" i="7"/>
  <c r="C984" i="7"/>
  <c r="C985" i="7"/>
  <c r="C986" i="7"/>
  <c r="C987" i="7"/>
  <c r="C988" i="7"/>
  <c r="C989" i="7"/>
  <c r="C990" i="7"/>
  <c r="C991" i="7"/>
  <c r="C992" i="7"/>
  <c r="C993" i="7"/>
  <c r="C994" i="7"/>
  <c r="C995" i="7"/>
  <c r="C996" i="7"/>
  <c r="C997" i="7"/>
  <c r="C998" i="7"/>
  <c r="C999" i="7"/>
  <c r="C1000" i="7"/>
  <c r="C1001" i="7"/>
  <c r="C1002" i="7"/>
  <c r="C1003" i="7"/>
  <c r="C1004" i="7"/>
  <c r="C1005" i="7"/>
  <c r="C1006" i="7"/>
  <c r="C1007" i="7"/>
  <c r="C1008" i="7"/>
  <c r="C1009" i="7"/>
  <c r="C1010" i="7"/>
  <c r="C1011" i="7"/>
  <c r="C1012" i="7"/>
  <c r="C1013" i="7"/>
  <c r="C1014" i="7"/>
  <c r="C1015" i="7"/>
  <c r="C1016" i="7"/>
  <c r="C1017" i="7"/>
  <c r="C1018" i="7"/>
  <c r="C1019" i="7"/>
  <c r="C1020" i="7"/>
  <c r="C1021" i="7"/>
  <c r="C1022" i="7"/>
  <c r="C1023" i="7"/>
  <c r="C1024" i="7"/>
  <c r="C1025" i="7"/>
  <c r="C1026" i="7"/>
  <c r="C1027" i="7"/>
  <c r="C1028" i="7"/>
  <c r="C1029" i="7"/>
  <c r="C1030" i="7"/>
  <c r="C1031" i="7"/>
  <c r="C1032" i="7"/>
  <c r="C1033" i="7"/>
  <c r="C1034" i="7"/>
  <c r="C1035" i="7"/>
  <c r="C1036" i="7"/>
  <c r="C1037" i="7"/>
  <c r="C1038" i="7"/>
  <c r="C1039" i="7"/>
  <c r="C1040" i="7"/>
  <c r="C1041" i="7"/>
  <c r="C1042" i="7"/>
  <c r="C1043" i="7"/>
  <c r="C1044" i="7"/>
  <c r="C1045" i="7"/>
  <c r="C1046" i="7"/>
  <c r="C1047" i="7"/>
  <c r="C1048" i="7"/>
  <c r="C1049" i="7"/>
  <c r="C1050" i="7"/>
  <c r="C1051" i="7"/>
  <c r="C1052" i="7"/>
  <c r="C1053" i="7"/>
  <c r="C1054" i="7"/>
  <c r="C1055" i="7"/>
  <c r="C1056" i="7"/>
  <c r="C1057" i="7"/>
  <c r="C1058" i="7"/>
  <c r="C1059" i="7"/>
  <c r="C1060" i="7"/>
  <c r="C1061" i="7"/>
  <c r="C1062" i="7"/>
  <c r="C1063" i="7"/>
  <c r="C1064" i="7"/>
  <c r="C1065" i="7"/>
  <c r="C1066" i="7"/>
  <c r="C1067" i="7"/>
  <c r="C1068" i="7"/>
  <c r="C1069" i="7"/>
  <c r="C1070" i="7"/>
  <c r="C1071" i="7"/>
  <c r="C1072" i="7"/>
  <c r="C1073" i="7"/>
  <c r="C1074" i="7"/>
  <c r="C1075" i="7"/>
  <c r="C1076" i="7"/>
  <c r="C1077" i="7"/>
  <c r="C1078" i="7"/>
  <c r="C1079" i="7"/>
  <c r="C1080" i="7"/>
  <c r="C1081" i="7"/>
  <c r="C1082" i="7"/>
  <c r="C1083" i="7"/>
  <c r="C1084" i="7"/>
  <c r="C1085" i="7"/>
  <c r="C1086" i="7"/>
  <c r="C1087" i="7"/>
  <c r="C1088" i="7"/>
  <c r="C1089" i="7"/>
  <c r="C1090" i="7"/>
  <c r="C1091" i="7"/>
  <c r="C1092" i="7"/>
  <c r="C1093" i="7"/>
  <c r="C1094" i="7"/>
  <c r="C1095" i="7"/>
  <c r="C1096" i="7"/>
  <c r="C1097" i="7"/>
  <c r="C1098" i="7"/>
  <c r="C1099" i="7"/>
  <c r="C1100" i="7"/>
  <c r="C1101" i="7"/>
  <c r="C1102" i="7"/>
  <c r="C1103" i="7"/>
  <c r="C1104" i="7"/>
  <c r="C1105" i="7"/>
  <c r="C1106" i="7"/>
  <c r="C1107" i="7"/>
  <c r="C1108" i="7"/>
  <c r="C1109" i="7"/>
  <c r="C1110" i="7"/>
  <c r="C1111" i="7"/>
  <c r="C1112" i="7"/>
  <c r="C1113" i="7"/>
  <c r="C1114" i="7"/>
  <c r="C1115" i="7"/>
  <c r="C1116" i="7"/>
  <c r="C1117" i="7"/>
  <c r="C1118" i="7"/>
  <c r="C1119" i="7"/>
  <c r="C1120" i="7"/>
  <c r="C1121" i="7"/>
  <c r="C1122" i="7"/>
  <c r="C1123" i="7"/>
  <c r="C1124" i="7"/>
  <c r="C1125" i="7"/>
  <c r="C1126" i="7"/>
  <c r="C1127" i="7"/>
  <c r="C1128" i="7"/>
  <c r="C1129" i="7"/>
  <c r="C1130" i="7"/>
  <c r="C1131" i="7"/>
  <c r="C1132" i="7"/>
  <c r="C1133" i="7"/>
  <c r="C1134" i="7"/>
  <c r="C1135" i="7"/>
  <c r="C1136" i="7"/>
  <c r="C1137" i="7"/>
  <c r="C1138" i="7"/>
  <c r="C1139" i="7"/>
  <c r="C1140" i="7"/>
  <c r="C1141" i="7"/>
  <c r="C1142" i="7"/>
  <c r="C1143" i="7"/>
  <c r="C1144" i="7"/>
  <c r="C1145" i="7"/>
  <c r="C1146" i="7"/>
  <c r="C1147" i="7"/>
  <c r="C1148" i="7"/>
  <c r="C1149" i="7"/>
  <c r="C1150" i="7"/>
  <c r="C1151" i="7"/>
  <c r="C1152" i="7"/>
  <c r="C1153" i="7"/>
  <c r="C1154" i="7"/>
  <c r="C1155" i="7"/>
  <c r="C1156" i="7"/>
  <c r="C1157" i="7"/>
  <c r="C1158" i="7"/>
  <c r="C1159" i="7"/>
  <c r="C1160" i="7"/>
  <c r="C1161" i="7"/>
  <c r="C1162" i="7"/>
  <c r="C1163" i="7"/>
  <c r="C1164" i="7"/>
  <c r="C1165" i="7"/>
  <c r="C1166" i="7"/>
  <c r="C1167" i="7"/>
  <c r="C1168" i="7"/>
  <c r="C1169" i="7"/>
  <c r="C1170" i="7"/>
  <c r="C1171" i="7"/>
  <c r="C1172" i="7"/>
  <c r="C1173" i="7"/>
  <c r="C1174" i="7"/>
  <c r="C1175" i="7"/>
  <c r="C1176" i="7"/>
  <c r="C1177" i="7"/>
  <c r="C1178" i="7"/>
  <c r="C1179" i="7"/>
  <c r="C1180" i="7"/>
  <c r="C1181" i="7"/>
  <c r="C1182" i="7"/>
  <c r="C1183" i="7"/>
  <c r="C1184" i="7"/>
  <c r="C1185" i="7"/>
  <c r="C1186" i="7"/>
  <c r="C1187" i="7"/>
  <c r="C1188" i="7"/>
  <c r="C1189" i="7"/>
  <c r="C1190" i="7"/>
  <c r="C1191" i="7"/>
  <c r="C1192" i="7"/>
  <c r="C1193" i="7"/>
  <c r="C1194" i="7"/>
  <c r="C1195" i="7"/>
  <c r="C1196" i="7"/>
  <c r="C1197" i="7"/>
  <c r="C1198" i="7"/>
  <c r="C1199" i="7"/>
  <c r="C1200" i="7"/>
  <c r="C1201" i="7"/>
  <c r="C1202" i="7"/>
  <c r="C1203" i="7"/>
  <c r="C1204" i="7"/>
  <c r="C1205" i="7"/>
  <c r="C1206" i="7"/>
  <c r="C1207" i="7"/>
  <c r="C1208" i="7"/>
  <c r="C1209" i="7"/>
  <c r="C1210" i="7"/>
  <c r="C1211" i="7"/>
  <c r="C1212" i="7"/>
  <c r="C1213" i="7"/>
  <c r="C1214" i="7"/>
  <c r="C1215" i="7"/>
  <c r="C1216" i="7"/>
  <c r="C1217" i="7"/>
  <c r="C1218" i="7"/>
  <c r="C1219" i="7"/>
  <c r="C1220" i="7"/>
  <c r="C1221" i="7"/>
  <c r="C1222" i="7"/>
  <c r="C1223" i="7"/>
  <c r="C1224" i="7"/>
  <c r="C1225" i="7"/>
  <c r="C1226" i="7"/>
  <c r="C1227" i="7"/>
  <c r="C1228" i="7"/>
  <c r="C1229" i="7"/>
  <c r="C1230" i="7"/>
  <c r="C1231" i="7"/>
  <c r="C1232" i="7"/>
  <c r="C1233" i="7"/>
  <c r="C1234" i="7"/>
  <c r="C1235" i="7"/>
  <c r="C1236" i="7"/>
  <c r="C1237" i="7"/>
  <c r="C1238" i="7"/>
  <c r="C1239" i="7"/>
  <c r="C1240" i="7"/>
  <c r="C1241" i="7"/>
  <c r="C1242" i="7"/>
  <c r="C1243" i="7"/>
  <c r="C1244" i="7"/>
  <c r="C1245" i="7"/>
  <c r="C1246" i="7"/>
  <c r="C1247" i="7"/>
  <c r="C1248" i="7"/>
  <c r="C1249" i="7"/>
  <c r="C1250" i="7"/>
  <c r="C1251" i="7"/>
  <c r="C1252" i="7"/>
  <c r="C35" i="7"/>
  <c r="H32" i="7"/>
  <c r="F32" i="7"/>
  <c r="A32" i="7"/>
  <c r="F28" i="7" l="1"/>
  <c r="G28" i="7" s="1"/>
  <c r="X3" i="7" l="1"/>
  <c r="X4" i="7" l="1"/>
  <c r="Z4" i="7"/>
  <c r="Y4" i="7" l="1"/>
  <c r="Z3" i="7"/>
  <c r="S7" i="7"/>
  <c r="Y2" i="7" l="1"/>
  <c r="Z5" i="7"/>
  <c r="T14" i="7"/>
  <c r="T7" i="7"/>
  <c r="T21" i="7"/>
  <c r="T22" i="7"/>
  <c r="T10" i="7"/>
  <c r="T13" i="7"/>
  <c r="T18" i="7"/>
  <c r="T17" i="7"/>
  <c r="T6" i="7"/>
  <c r="X5" i="7"/>
  <c r="T20" i="7"/>
  <c r="T16" i="7"/>
  <c r="T12" i="7"/>
  <c r="T8" i="7"/>
  <c r="T9" i="7"/>
  <c r="T5" i="7"/>
  <c r="T4" i="7"/>
  <c r="T19" i="7"/>
  <c r="T15" i="7"/>
  <c r="T11" i="7"/>
  <c r="E4" i="7"/>
  <c r="C10" i="7" l="1"/>
  <c r="B7" i="7"/>
  <c r="B11" i="7"/>
  <c r="B15" i="7"/>
  <c r="B19" i="7"/>
  <c r="B8" i="7"/>
  <c r="B12" i="7"/>
  <c r="B16" i="7"/>
  <c r="B20" i="7"/>
  <c r="B4" i="7"/>
  <c r="B9" i="7"/>
  <c r="B13" i="7"/>
  <c r="B17" i="7"/>
  <c r="B21" i="7"/>
  <c r="B10" i="7"/>
  <c r="B14" i="7"/>
  <c r="B18" i="7"/>
  <c r="B22" i="7"/>
  <c r="B23" i="7"/>
  <c r="B5" i="7"/>
  <c r="B6" i="7"/>
  <c r="C19" i="7"/>
  <c r="U4" i="7"/>
  <c r="U18" i="7"/>
  <c r="U21" i="7"/>
  <c r="C23" i="7"/>
  <c r="C13" i="7"/>
  <c r="C16" i="7"/>
  <c r="U11" i="7"/>
  <c r="U5" i="7"/>
  <c r="U16" i="7"/>
  <c r="U13" i="7"/>
  <c r="U7" i="7"/>
  <c r="C4" i="7"/>
  <c r="Y3" i="7"/>
  <c r="Y5" i="7" s="1"/>
  <c r="AA5" i="7" s="1"/>
  <c r="X7" i="7" s="1"/>
  <c r="C6" i="7"/>
  <c r="C22" i="7"/>
  <c r="U9" i="7"/>
  <c r="U20" i="7"/>
  <c r="U6" i="7"/>
  <c r="U10" i="7"/>
  <c r="U14" i="7"/>
  <c r="C9" i="7"/>
  <c r="C12" i="7"/>
  <c r="C7" i="7"/>
  <c r="U12" i="7"/>
  <c r="C11" i="7"/>
  <c r="C17" i="7"/>
  <c r="C20" i="7"/>
  <c r="U15" i="7"/>
  <c r="C15" i="7"/>
  <c r="C5" i="7"/>
  <c r="C8" i="7"/>
  <c r="C21" i="7"/>
  <c r="C18" i="7"/>
  <c r="U19" i="7"/>
  <c r="U8" i="7"/>
  <c r="C14" i="7"/>
  <c r="U17" i="7"/>
  <c r="X8" i="7" l="1"/>
  <c r="X9" i="7" s="1"/>
  <c r="C18" i="6" l="1"/>
  <c r="B18" i="6"/>
  <c r="D15" i="6"/>
  <c r="C15" i="6"/>
  <c r="C14" i="6"/>
  <c r="B14" i="6"/>
  <c r="A14" i="6"/>
  <c r="A15" i="6" s="1"/>
  <c r="C16" i="6"/>
  <c r="B16" i="6"/>
  <c r="B15" i="6" s="1"/>
  <c r="A16" i="6"/>
  <c r="C8" i="6"/>
  <c r="C9" i="6" s="1"/>
  <c r="C10" i="6" s="1"/>
  <c r="B8" i="6"/>
  <c r="H47" i="4" l="1"/>
  <c r="I7" i="4"/>
  <c r="H7" i="4"/>
  <c r="H33" i="4"/>
  <c r="H5" i="4"/>
  <c r="H31" i="4"/>
  <c r="H29" i="4"/>
  <c r="I11" i="4"/>
  <c r="H11" i="4"/>
  <c r="Z55" i="3"/>
  <c r="N10" i="3" l="1"/>
  <c r="F8" i="3" l="1"/>
  <c r="AA8" i="3" l="1"/>
  <c r="AA9" i="3"/>
  <c r="AA10" i="3"/>
  <c r="AA11" i="3"/>
  <c r="AA12" i="3"/>
  <c r="AA13" i="3"/>
  <c r="AA14" i="3"/>
  <c r="AA19" i="3"/>
  <c r="AA18" i="3"/>
  <c r="AA17" i="3"/>
  <c r="AA16" i="3"/>
  <c r="AA15" i="3"/>
  <c r="AG29" i="3" l="1"/>
  <c r="AG30" i="3"/>
  <c r="AG31" i="3"/>
  <c r="AG32" i="3"/>
  <c r="AG33" i="3"/>
  <c r="AG34" i="3"/>
  <c r="AG35" i="3"/>
  <c r="AG36" i="3"/>
  <c r="AG37" i="3"/>
  <c r="AG38" i="3"/>
  <c r="AG39" i="3"/>
  <c r="AG40" i="3"/>
  <c r="AG41" i="3"/>
  <c r="AG42" i="3"/>
  <c r="AG43" i="3"/>
  <c r="AG44" i="3"/>
  <c r="AG45" i="3"/>
  <c r="AG28" i="3"/>
  <c r="AO39" i="3" l="1"/>
  <c r="AO37" i="3"/>
  <c r="AO41" i="3"/>
  <c r="AO43" i="3"/>
  <c r="AO45" i="3"/>
  <c r="AR44" i="3"/>
  <c r="AR45" i="3"/>
  <c r="AR43" i="3"/>
  <c r="AR42" i="3"/>
  <c r="AR41" i="3"/>
  <c r="AR40" i="3"/>
  <c r="AR39" i="3"/>
  <c r="AR38" i="3"/>
  <c r="AR36" i="3"/>
  <c r="AR37" i="3"/>
  <c r="AX36" i="3"/>
  <c r="AX37" i="3"/>
  <c r="AX38" i="3"/>
  <c r="AX39" i="3"/>
  <c r="AX40" i="3"/>
  <c r="AX41" i="3"/>
  <c r="AX42" i="3"/>
  <c r="AX43" i="3"/>
  <c r="AX44" i="3"/>
  <c r="AX45" i="3"/>
  <c r="AU45" i="3"/>
  <c r="AU44" i="3"/>
  <c r="AU43" i="3"/>
  <c r="AU42" i="3"/>
  <c r="AU41" i="3"/>
  <c r="AU40" i="3"/>
  <c r="AU39" i="3"/>
  <c r="AU38" i="3"/>
  <c r="AU37" i="3"/>
  <c r="AU36" i="3"/>
  <c r="AX28" i="3"/>
  <c r="AX27" i="3"/>
  <c r="AX26" i="3"/>
  <c r="AX25" i="3"/>
  <c r="AX24" i="3"/>
  <c r="AX23" i="3"/>
  <c r="AX22" i="3"/>
  <c r="AX21" i="3"/>
  <c r="AX20" i="3"/>
  <c r="AX19" i="3"/>
  <c r="AX18" i="3"/>
  <c r="AX17" i="3"/>
  <c r="AX16" i="3"/>
  <c r="AX15" i="3"/>
  <c r="AX14" i="3"/>
  <c r="F26" i="3" l="1"/>
  <c r="R100" i="3" l="1"/>
  <c r="R108" i="3"/>
  <c r="F14" i="3" l="1"/>
  <c r="F9" i="3" l="1"/>
  <c r="Z57" i="3" s="1"/>
  <c r="F14" i="1" l="1"/>
  <c r="R104" i="3"/>
  <c r="R22" i="3"/>
  <c r="L32" i="3"/>
  <c r="K18" i="3"/>
  <c r="R8" i="3"/>
  <c r="R9" i="3" s="1"/>
  <c r="L13" i="3"/>
  <c r="F12" i="3"/>
  <c r="F10" i="3" s="1"/>
  <c r="L8" i="3"/>
  <c r="F5" i="3"/>
  <c r="L9" i="3" s="1"/>
  <c r="L7" i="3" s="1"/>
  <c r="M5" i="3"/>
  <c r="R19" i="3" l="1"/>
  <c r="U20" i="3" s="1"/>
  <c r="AK44" i="3"/>
  <c r="AL44" i="3" s="1"/>
  <c r="AK41" i="3"/>
  <c r="AL41" i="3" s="1"/>
  <c r="AK37" i="3"/>
  <c r="AL37" i="3" s="1"/>
  <c r="AK45" i="3"/>
  <c r="AL45" i="3" s="1"/>
  <c r="AK40" i="3"/>
  <c r="AL40" i="3" s="1"/>
  <c r="AK43" i="3"/>
  <c r="AL43" i="3" s="1"/>
  <c r="AK39" i="3"/>
  <c r="AL39" i="3" s="1"/>
  <c r="AK36" i="3"/>
  <c r="AL36" i="3" s="1"/>
  <c r="AK42" i="3"/>
  <c r="AL42" i="3" s="1"/>
  <c r="AK38" i="3"/>
  <c r="AL38" i="3" s="1"/>
  <c r="L6" i="3"/>
  <c r="Z54" i="3" s="1"/>
  <c r="R20" i="3"/>
  <c r="R21" i="3"/>
  <c r="K41" i="3"/>
  <c r="L5" i="3"/>
  <c r="Z44" i="3"/>
  <c r="R12" i="3"/>
  <c r="R10" i="3"/>
  <c r="L8" i="1"/>
  <c r="R107" i="3" l="1"/>
  <c r="X70" i="3"/>
  <c r="X75" i="3" s="1"/>
  <c r="L11" i="3"/>
  <c r="L10" i="3"/>
  <c r="AM37" i="3"/>
  <c r="AM41" i="3"/>
  <c r="AM45" i="3"/>
  <c r="AM43" i="3"/>
  <c r="AM38" i="3"/>
  <c r="AM42" i="3"/>
  <c r="AM36" i="3"/>
  <c r="AM39" i="3"/>
  <c r="AM40" i="3"/>
  <c r="AM44" i="3"/>
  <c r="L34" i="3"/>
  <c r="R3" i="3"/>
  <c r="R102" i="3" s="1"/>
  <c r="R5" i="3"/>
  <c r="R106" i="3" s="1"/>
  <c r="L36" i="3"/>
  <c r="L38" i="3"/>
  <c r="Z46" i="3"/>
  <c r="R1" i="3"/>
  <c r="R98" i="3" s="1"/>
  <c r="R103" i="3"/>
  <c r="R99" i="3"/>
  <c r="F25" i="1"/>
  <c r="Z76" i="3" l="1"/>
  <c r="Z80" i="3"/>
  <c r="Z84" i="3"/>
  <c r="Z88" i="3"/>
  <c r="X77" i="3"/>
  <c r="X81" i="3"/>
  <c r="X85" i="3"/>
  <c r="X89" i="3"/>
  <c r="X93" i="3"/>
  <c r="Y78" i="3"/>
  <c r="Y82" i="3"/>
  <c r="Y86" i="3"/>
  <c r="Z77" i="3"/>
  <c r="Z81" i="3"/>
  <c r="Z85" i="3"/>
  <c r="Z89" i="3"/>
  <c r="X78" i="3"/>
  <c r="X82" i="3"/>
  <c r="X86" i="3"/>
  <c r="X90" i="3"/>
  <c r="X94" i="3"/>
  <c r="Y75" i="3"/>
  <c r="Y79" i="3"/>
  <c r="Y83" i="3"/>
  <c r="Y87" i="3"/>
  <c r="Z78" i="3"/>
  <c r="Z82" i="3"/>
  <c r="Z86" i="3"/>
  <c r="Z75" i="3"/>
  <c r="X79" i="3"/>
  <c r="X83" i="3"/>
  <c r="X87" i="3"/>
  <c r="X91" i="3"/>
  <c r="X95" i="3"/>
  <c r="Y76" i="3"/>
  <c r="Y80" i="3"/>
  <c r="Y84" i="3"/>
  <c r="Y88" i="3"/>
  <c r="Z79" i="3"/>
  <c r="Z83" i="3"/>
  <c r="Z87" i="3"/>
  <c r="X76" i="3"/>
  <c r="X80" i="3"/>
  <c r="X84" i="3"/>
  <c r="X88" i="3"/>
  <c r="X92" i="3"/>
  <c r="X96" i="3"/>
  <c r="Y77" i="3"/>
  <c r="Y81" i="3"/>
  <c r="Y85" i="3"/>
  <c r="Y89" i="3"/>
  <c r="R97" i="3"/>
  <c r="F37" i="3"/>
  <c r="F38" i="3" s="1"/>
  <c r="K17" i="3"/>
  <c r="K16" i="3" s="1"/>
  <c r="R101" i="3"/>
  <c r="R105" i="3"/>
  <c r="K24" i="3"/>
  <c r="F41" i="3"/>
  <c r="F42" i="3" s="1"/>
  <c r="K22" i="3"/>
  <c r="F39" i="3"/>
  <c r="F40" i="3" s="1"/>
  <c r="K20" i="3"/>
  <c r="F40" i="1"/>
  <c r="L47" i="1"/>
  <c r="L31" i="1"/>
  <c r="F5" i="1"/>
  <c r="L49" i="1" s="1"/>
  <c r="R9" i="1"/>
  <c r="R19" i="1"/>
  <c r="K17" i="1"/>
  <c r="R20" i="1"/>
  <c r="S39" i="3" l="1"/>
  <c r="S40" i="3"/>
  <c r="S46" i="3"/>
  <c r="S44" i="3"/>
  <c r="S47" i="3"/>
  <c r="S45" i="3"/>
  <c r="S38" i="3"/>
  <c r="S37" i="3"/>
  <c r="S31" i="3"/>
  <c r="S33" i="3"/>
  <c r="S30" i="3"/>
  <c r="S32" i="3"/>
  <c r="Z43" i="3"/>
  <c r="R96" i="3"/>
  <c r="R110" i="3"/>
  <c r="K23" i="3"/>
  <c r="F33" i="3"/>
  <c r="K44" i="3" s="1"/>
  <c r="K25" i="3"/>
  <c r="K21" i="3"/>
  <c r="L33" i="1"/>
  <c r="L35" i="1"/>
  <c r="K21" i="1" s="1"/>
  <c r="L45" i="1"/>
  <c r="R36" i="1"/>
  <c r="R12" i="1"/>
  <c r="R10" i="1"/>
  <c r="R33" i="1"/>
  <c r="Z45" i="3" l="1"/>
  <c r="Z48" i="3" s="1"/>
  <c r="S34" i="3"/>
  <c r="S48" i="3"/>
  <c r="S49" i="3"/>
  <c r="S41" i="3"/>
  <c r="S42" i="3"/>
  <c r="S35" i="3"/>
  <c r="S28" i="3" s="1"/>
  <c r="R109" i="3"/>
  <c r="R111" i="3" s="1"/>
  <c r="F34" i="3"/>
  <c r="R2" i="1"/>
  <c r="R32" i="1" s="1"/>
  <c r="R4" i="1"/>
  <c r="R35" i="1" s="1"/>
  <c r="K19" i="1"/>
  <c r="L13" i="1"/>
  <c r="M5" i="1"/>
  <c r="F10" i="1"/>
  <c r="F9" i="1" s="1"/>
  <c r="Z49" i="3" l="1"/>
  <c r="Z50" i="3" s="1"/>
  <c r="Z51" i="3"/>
  <c r="Z52" i="3" s="1"/>
  <c r="Z39" i="3"/>
  <c r="Y27" i="3"/>
  <c r="Y28" i="3" s="1"/>
  <c r="W27" i="3"/>
  <c r="W28" i="3" s="1"/>
  <c r="S51" i="3"/>
  <c r="S50" i="3"/>
  <c r="S36" i="3"/>
  <c r="S43" i="3"/>
  <c r="S52" i="3"/>
  <c r="L5" i="1"/>
  <c r="L10" i="1" s="1"/>
  <c r="Z58" i="3" l="1"/>
  <c r="W57" i="3" s="1"/>
  <c r="Z53" i="3"/>
  <c r="S53" i="3"/>
  <c r="Z27" i="3"/>
  <c r="L11" i="1"/>
  <c r="T31" i="1"/>
  <c r="L37" i="1"/>
  <c r="F51" i="1"/>
  <c r="F52" i="1"/>
  <c r="L42" i="1"/>
  <c r="L43" i="1" s="1"/>
  <c r="L44" i="1"/>
  <c r="N33" i="1"/>
  <c r="F32" i="1"/>
  <c r="F36" i="1"/>
  <c r="K23" i="1"/>
  <c r="K24" i="1" s="1"/>
  <c r="K22" i="1"/>
  <c r="W58" i="3" l="1"/>
  <c r="Y62" i="3" s="1"/>
  <c r="Z62" i="3" s="1"/>
  <c r="W60" i="3"/>
  <c r="W59" i="3"/>
  <c r="W62" i="3"/>
  <c r="R29" i="1"/>
  <c r="R43" i="1" s="1"/>
  <c r="R34" i="1"/>
  <c r="R45" i="1" s="1"/>
  <c r="R46" i="1" s="1"/>
  <c r="R31" i="1"/>
  <c r="T43" i="1"/>
  <c r="T44" i="1" s="1"/>
  <c r="F47" i="1"/>
  <c r="F50" i="1" s="1"/>
  <c r="F31" i="1"/>
  <c r="F29" i="1" s="1"/>
  <c r="F39" i="1" s="1"/>
  <c r="F34" i="1"/>
  <c r="F45" i="1" s="1"/>
  <c r="F49" i="1" s="1"/>
  <c r="F37" i="1"/>
  <c r="R41" i="1"/>
  <c r="K20" i="1"/>
  <c r="Y64" i="3" l="1"/>
  <c r="Z64" i="3" s="1"/>
  <c r="Y63" i="3"/>
  <c r="Z63" i="3" s="1"/>
  <c r="W63" i="3"/>
  <c r="W64" i="3"/>
  <c r="R37" i="1"/>
  <c r="F30" i="1"/>
  <c r="F35" i="1"/>
  <c r="R44" i="1"/>
  <c r="R42" i="1"/>
  <c r="BG60" i="3" l="1"/>
  <c r="BG84" i="3"/>
  <c r="Z28" i="3" l="1"/>
  <c r="Z36" i="3" l="1"/>
  <c r="Z37" i="3" s="1"/>
  <c r="Z34" i="3"/>
  <c r="Z35" i="3" s="1"/>
  <c r="Z30" i="3"/>
  <c r="Z31" i="3" s="1"/>
  <c r="Z32" i="3"/>
  <c r="Z33" i="3" s="1"/>
  <c r="Z38" i="3" l="1"/>
  <c r="C32" i="7"/>
  <c r="E32" i="7" l="1"/>
  <c r="D32" i="7"/>
  <c r="G32" i="7" l="1"/>
  <c r="F27" i="7"/>
  <c r="H27" i="7" l="1"/>
  <c r="G27" i="7"/>
  <c r="E844" i="7" l="1"/>
  <c r="E794" i="7"/>
  <c r="E932" i="7"/>
  <c r="E426" i="7"/>
  <c r="E534" i="7"/>
  <c r="E370" i="7"/>
  <c r="E569" i="7"/>
  <c r="E802" i="7"/>
  <c r="E821" i="7"/>
  <c r="E159" i="7"/>
  <c r="E592" i="7"/>
  <c r="E154" i="7"/>
  <c r="E621" i="7"/>
  <c r="E218" i="7"/>
  <c r="E477" i="7"/>
  <c r="E400" i="7"/>
  <c r="E612" i="7"/>
  <c r="E420" i="7"/>
  <c r="E378" i="7"/>
  <c r="E577" i="7"/>
  <c r="E801" i="7"/>
  <c r="E210" i="7"/>
  <c r="E49" i="7"/>
  <c r="E116" i="7"/>
  <c r="E716" i="7"/>
  <c r="E818" i="7"/>
  <c r="E372" i="7"/>
  <c r="E648" i="7"/>
  <c r="E439" i="7"/>
  <c r="E750" i="7"/>
  <c r="E765" i="7"/>
  <c r="E639" i="7"/>
  <c r="E1170" i="7"/>
  <c r="E1197" i="7"/>
  <c r="E322" i="7"/>
  <c r="E521" i="7"/>
  <c r="E54" i="7"/>
  <c r="E259" i="7"/>
  <c r="E722" i="7"/>
  <c r="E432" i="7"/>
  <c r="E383" i="7"/>
  <c r="E904" i="7"/>
  <c r="E179" i="7"/>
  <c r="E542" i="7"/>
  <c r="E463" i="7"/>
  <c r="E828" i="7"/>
  <c r="E546" i="7"/>
  <c r="E429" i="7"/>
  <c r="E203" i="7"/>
  <c r="E597" i="7"/>
  <c r="E152" i="7"/>
  <c r="E708" i="7"/>
  <c r="E418" i="7"/>
  <c r="E696" i="7"/>
  <c r="E579" i="7"/>
  <c r="E911" i="7"/>
  <c r="E833" i="7"/>
  <c r="E1168" i="7"/>
  <c r="E669" i="7"/>
  <c r="E615" i="7"/>
  <c r="E713" i="7"/>
  <c r="E1235" i="7"/>
  <c r="E523" i="7"/>
  <c r="E951" i="7"/>
  <c r="E839" i="7"/>
  <c r="E467" i="7"/>
  <c r="E989" i="7"/>
  <c r="E1198" i="7"/>
  <c r="E943" i="7"/>
  <c r="E965" i="7"/>
  <c r="E126" i="7"/>
  <c r="D146" i="7"/>
  <c r="D488" i="7"/>
  <c r="E893" i="7"/>
  <c r="E709" i="7"/>
  <c r="E633" i="7"/>
  <c r="E854" i="7"/>
  <c r="E81" i="7"/>
  <c r="D423" i="7"/>
  <c r="E149" i="7"/>
  <c r="E341" i="7"/>
  <c r="E462" i="7"/>
  <c r="E359" i="7"/>
  <c r="E160" i="7"/>
  <c r="E183" i="7"/>
  <c r="E67" i="7"/>
  <c r="E581" i="7"/>
  <c r="E441" i="7"/>
  <c r="E816" i="7"/>
  <c r="E197" i="7"/>
  <c r="E455" i="7"/>
  <c r="E557" i="7"/>
  <c r="E150" i="7"/>
  <c r="E512" i="7"/>
  <c r="E751" i="7"/>
  <c r="E292" i="7"/>
  <c r="E593" i="7"/>
  <c r="E380" i="7"/>
  <c r="E55" i="7"/>
  <c r="E42" i="7"/>
  <c r="E842" i="7"/>
  <c r="E396" i="7"/>
  <c r="E776" i="7"/>
  <c r="E796" i="7"/>
  <c r="E565" i="7"/>
  <c r="E524" i="7"/>
  <c r="E72" i="7"/>
  <c r="E714" i="7"/>
  <c r="E369" i="7"/>
  <c r="E255" i="7"/>
  <c r="E412" i="7"/>
  <c r="E528" i="7"/>
  <c r="E666" i="7"/>
  <c r="E423" i="7"/>
  <c r="E804" i="7"/>
  <c r="E587" i="7"/>
  <c r="E894" i="7"/>
  <c r="E811" i="7"/>
  <c r="E987" i="7"/>
  <c r="D525" i="7"/>
  <c r="E614" i="7"/>
  <c r="E450" i="7"/>
  <c r="E298" i="7"/>
  <c r="E485" i="7"/>
  <c r="E850" i="7"/>
  <c r="E560" i="7"/>
  <c r="E497" i="7"/>
  <c r="E408" i="7"/>
  <c r="E404" i="7"/>
  <c r="E698" i="7"/>
  <c r="E591" i="7"/>
  <c r="E623" i="7"/>
  <c r="E792" i="7"/>
  <c r="E288" i="7"/>
  <c r="E284" i="7"/>
  <c r="E550" i="7"/>
  <c r="E471" i="7"/>
  <c r="E836" i="7"/>
  <c r="E570" i="7"/>
  <c r="E607" i="7"/>
  <c r="E814" i="7"/>
  <c r="E540" i="7"/>
  <c r="E415" i="7"/>
  <c r="E1015" i="7"/>
  <c r="E797" i="7"/>
  <c r="E727" i="7"/>
  <c r="E435" i="7"/>
  <c r="E805" i="7"/>
  <c r="E657" i="7"/>
  <c r="E995" i="7"/>
  <c r="E761" i="7"/>
  <c r="E985" i="7"/>
  <c r="E1242" i="7"/>
  <c r="E1186" i="7"/>
  <c r="E516" i="7"/>
  <c r="E184" i="7"/>
  <c r="D453" i="7"/>
  <c r="D330" i="7"/>
  <c r="E747" i="7"/>
  <c r="E695" i="7"/>
  <c r="E895" i="7"/>
  <c r="E1236" i="7"/>
  <c r="E1188" i="7"/>
  <c r="E230" i="7"/>
  <c r="E257" i="7"/>
  <c r="E76" i="7"/>
  <c r="E328" i="7"/>
  <c r="E874" i="7"/>
  <c r="E118" i="7"/>
  <c r="E155" i="7"/>
  <c r="E296" i="7"/>
  <c r="E692" i="7"/>
  <c r="E384" i="7"/>
  <c r="E213" i="7"/>
  <c r="E856" i="7"/>
  <c r="E820" i="7"/>
  <c r="E922" i="7"/>
  <c r="E367" i="7"/>
  <c r="E449" i="7"/>
  <c r="E673" i="7"/>
  <c r="E479" i="7"/>
  <c r="E428" i="7"/>
  <c r="E567" i="7"/>
  <c r="E214" i="7"/>
  <c r="E309" i="7"/>
  <c r="E552" i="7"/>
  <c r="E690" i="7"/>
  <c r="E375" i="7"/>
  <c r="E498" i="7"/>
  <c r="E930" i="7"/>
  <c r="E451" i="7"/>
  <c r="E394" i="7"/>
  <c r="E381" i="7"/>
  <c r="E113" i="7"/>
  <c r="E605" i="7"/>
  <c r="E431" i="7"/>
  <c r="E465" i="7"/>
  <c r="E559" i="7"/>
  <c r="E407" i="7"/>
  <c r="E506" i="7"/>
  <c r="E929" i="7"/>
  <c r="E873" i="7"/>
  <c r="E781" i="7"/>
  <c r="E1058" i="7"/>
  <c r="E70" i="7"/>
  <c r="E511" i="7"/>
  <c r="E678" i="7"/>
  <c r="E269" i="7"/>
  <c r="E438" i="7"/>
  <c r="E351" i="7"/>
  <c r="E724" i="7"/>
  <c r="E424" i="7"/>
  <c r="E265" i="7"/>
  <c r="E461" i="7"/>
  <c r="E826" i="7"/>
  <c r="E536" i="7"/>
  <c r="E473" i="7"/>
  <c r="E205" i="7"/>
  <c r="E251" i="7"/>
  <c r="E171" i="7"/>
  <c r="E706" i="7"/>
  <c r="E599" i="7"/>
  <c r="E234" i="7"/>
  <c r="E840" i="7"/>
  <c r="E725" i="7"/>
  <c r="E655" i="7"/>
  <c r="E880" i="7"/>
  <c r="E875" i="7"/>
  <c r="E1183" i="7"/>
  <c r="E231" i="7"/>
  <c r="E855" i="7"/>
  <c r="E1048" i="7"/>
  <c r="E718" i="7"/>
  <c r="E913" i="7"/>
  <c r="E539" i="7"/>
  <c r="E1096" i="7"/>
  <c r="E675" i="7"/>
  <c r="E1243" i="7"/>
  <c r="E1131" i="7"/>
  <c r="E1002" i="7"/>
  <c r="E156" i="7"/>
  <c r="D174" i="7"/>
  <c r="D647" i="7"/>
  <c r="E1136" i="7"/>
  <c r="E627" i="7"/>
  <c r="E817" i="7"/>
  <c r="E1099" i="7"/>
  <c r="E1011" i="7"/>
  <c r="D360" i="7"/>
  <c r="E219" i="7"/>
  <c r="E164" i="7"/>
  <c r="E122" i="7"/>
  <c r="E456" i="7"/>
  <c r="E411" i="7"/>
  <c r="E305" i="7"/>
  <c r="E243" i="7"/>
  <c r="E437" i="7"/>
  <c r="E504" i="7"/>
  <c r="E489" i="7"/>
  <c r="E676" i="7"/>
  <c r="E244" i="7"/>
  <c r="E924" i="7"/>
  <c r="E1247" i="7"/>
  <c r="E748" i="7"/>
  <c r="E487" i="7"/>
  <c r="E589" i="7"/>
  <c r="E301" i="7"/>
  <c r="E544" i="7"/>
  <c r="E783" i="7"/>
  <c r="E702" i="7"/>
  <c r="E992" i="7"/>
  <c r="E956" i="7"/>
  <c r="D345" i="7"/>
  <c r="E1159" i="7"/>
  <c r="E337" i="7"/>
  <c r="E283" i="7"/>
  <c r="E278" i="7"/>
  <c r="E258" i="7"/>
  <c r="E360" i="7"/>
  <c r="E356" i="7"/>
  <c r="E650" i="7"/>
  <c r="E543" i="7"/>
  <c r="E908" i="7"/>
  <c r="E460" i="7"/>
  <c r="E223" i="7"/>
  <c r="E470" i="7"/>
  <c r="E342" i="7"/>
  <c r="E756" i="7"/>
  <c r="E458" i="7"/>
  <c r="E306" i="7"/>
  <c r="E493" i="7"/>
  <c r="E858" i="7"/>
  <c r="E568" i="7"/>
  <c r="E505" i="7"/>
  <c r="E237" i="7"/>
  <c r="E109" i="7"/>
  <c r="E319" i="7"/>
  <c r="E738" i="7"/>
  <c r="E448" i="7"/>
  <c r="E318" i="7"/>
  <c r="E530" i="7"/>
  <c r="E757" i="7"/>
  <c r="E687" i="7"/>
  <c r="E584" i="7"/>
  <c r="E944" i="7"/>
  <c r="E1223" i="7"/>
  <c r="E483" i="7"/>
  <c r="E887" i="7"/>
  <c r="E1080" i="7"/>
  <c r="E782" i="7"/>
  <c r="E608" i="7"/>
  <c r="E808" i="7"/>
  <c r="E1232" i="7"/>
  <c r="E1094" i="7"/>
  <c r="E982" i="7"/>
  <c r="E803" i="7"/>
  <c r="E1130" i="7"/>
  <c r="E238" i="7"/>
  <c r="D233" i="7"/>
  <c r="D580" i="7"/>
  <c r="E967" i="7"/>
  <c r="E600" i="7"/>
  <c r="E1152" i="7"/>
  <c r="E763" i="7"/>
  <c r="E723" i="7"/>
  <c r="D393" i="7"/>
  <c r="E315" i="7"/>
  <c r="E558" i="7"/>
  <c r="E273" i="7"/>
  <c r="E630" i="7"/>
  <c r="E712" i="7"/>
  <c r="E583" i="7"/>
  <c r="E879" i="7"/>
  <c r="E131" i="7"/>
  <c r="E518" i="7"/>
  <c r="E968" i="7"/>
  <c r="E304" i="7"/>
  <c r="E852" i="7"/>
  <c r="E620" i="7"/>
  <c r="E271" i="7"/>
  <c r="E481" i="7"/>
  <c r="E705" i="7"/>
  <c r="E572" i="7"/>
  <c r="E909" i="7"/>
  <c r="E827" i="7"/>
  <c r="D828" i="7"/>
  <c r="E1054" i="7"/>
  <c r="E46" i="7"/>
  <c r="E189" i="7"/>
  <c r="E106" i="7"/>
  <c r="E107" i="7"/>
  <c r="E267" i="7"/>
  <c r="E398" i="7"/>
  <c r="E778" i="7"/>
  <c r="E488" i="7"/>
  <c r="E410" i="7"/>
  <c r="E336" i="7"/>
  <c r="E332" i="7"/>
  <c r="E625" i="7"/>
  <c r="E519" i="7"/>
  <c r="E884" i="7"/>
  <c r="E475" i="7"/>
  <c r="E86" i="7"/>
  <c r="E446" i="7"/>
  <c r="E249" i="7"/>
  <c r="E732" i="7"/>
  <c r="E434" i="7"/>
  <c r="E333" i="7"/>
  <c r="E314" i="7"/>
  <c r="E501" i="7"/>
  <c r="E866" i="7"/>
  <c r="E582" i="7"/>
  <c r="E513" i="7"/>
  <c r="E443" i="7"/>
  <c r="E885" i="7"/>
  <c r="E815" i="7"/>
  <c r="E737" i="7"/>
  <c r="E1072" i="7"/>
  <c r="E643" i="7"/>
  <c r="E766" i="7"/>
  <c r="E704" i="7"/>
  <c r="E1063" i="7"/>
  <c r="E767" i="7"/>
  <c r="E1024" i="7"/>
  <c r="E656" i="7"/>
  <c r="E1091" i="7"/>
  <c r="E1140" i="7"/>
  <c r="E1084" i="7"/>
  <c r="E1028" i="7"/>
  <c r="E1019" i="7"/>
  <c r="E274" i="7"/>
  <c r="D248" i="7"/>
  <c r="D901" i="7"/>
  <c r="E637" i="7"/>
  <c r="E1208" i="7"/>
  <c r="E554" i="7"/>
  <c r="E1114" i="7"/>
  <c r="E1014" i="7"/>
  <c r="D159" i="7"/>
  <c r="E225" i="7"/>
  <c r="E43" i="7"/>
  <c r="E509" i="7"/>
  <c r="E876" i="7"/>
  <c r="E115" i="7"/>
  <c r="E175" i="7"/>
  <c r="E246" i="7"/>
  <c r="E144" i="7"/>
  <c r="E392" i="7"/>
  <c r="E388" i="7"/>
  <c r="E682" i="7"/>
  <c r="E575" i="7"/>
  <c r="E940" i="7"/>
  <c r="E728" i="7"/>
  <c r="E335" i="7"/>
  <c r="E538" i="7"/>
  <c r="E347" i="7"/>
  <c r="E277" i="7"/>
  <c r="E510" i="7"/>
  <c r="E693" i="7"/>
  <c r="E453" i="7"/>
  <c r="E888" i="7"/>
  <c r="E1141" i="7"/>
  <c r="E300" i="7"/>
  <c r="E638" i="7"/>
  <c r="E700" i="7"/>
  <c r="E469" i="7"/>
  <c r="E662" i="7"/>
  <c r="E1040" i="7"/>
  <c r="E1023" i="7"/>
  <c r="E1239" i="7"/>
  <c r="E1201" i="7"/>
  <c r="E1059" i="7"/>
  <c r="E1073" i="7"/>
  <c r="E187" i="7"/>
  <c r="E224" i="7"/>
  <c r="E85" i="7"/>
  <c r="E373" i="7"/>
  <c r="E354" i="7"/>
  <c r="E541" i="7"/>
  <c r="E906" i="7"/>
  <c r="E652" i="7"/>
  <c r="E553" i="7"/>
  <c r="E215" i="7"/>
  <c r="E302" i="7"/>
  <c r="E754" i="7"/>
  <c r="E464" i="7"/>
  <c r="E382" i="7"/>
  <c r="E312" i="7"/>
  <c r="E308" i="7"/>
  <c r="E574" i="7"/>
  <c r="E495" i="7"/>
  <c r="E860" i="7"/>
  <c r="E646" i="7"/>
  <c r="E207" i="7"/>
  <c r="E201" i="7"/>
  <c r="E454" i="7"/>
  <c r="E190" i="7"/>
  <c r="E740" i="7"/>
  <c r="E442" i="7"/>
  <c r="E760" i="7"/>
  <c r="E532" i="7"/>
  <c r="E616" i="7"/>
  <c r="E865" i="7"/>
  <c r="E1200" i="7"/>
  <c r="E701" i="7"/>
  <c r="E631" i="7"/>
  <c r="E745" i="7"/>
  <c r="E835" i="7"/>
  <c r="E476" i="7"/>
  <c r="E991" i="7"/>
  <c r="E358" i="7"/>
  <c r="E883" i="7"/>
  <c r="E659" i="7"/>
  <c r="E452" i="7"/>
  <c r="E1071" i="7"/>
  <c r="E578" i="7"/>
  <c r="E112" i="7"/>
  <c r="D538" i="7"/>
  <c r="D649" i="7"/>
  <c r="E564" i="7"/>
  <c r="E515" i="7"/>
  <c r="E711" i="7"/>
  <c r="E1245" i="7"/>
  <c r="E87" i="7"/>
  <c r="D497" i="7"/>
  <c r="E256" i="7"/>
  <c r="E239" i="7"/>
  <c r="E746" i="7"/>
  <c r="E266" i="7"/>
  <c r="E143" i="7"/>
  <c r="E119" i="7"/>
  <c r="E74" i="7"/>
  <c r="E275" i="7"/>
  <c r="E399" i="7"/>
  <c r="E445" i="7"/>
  <c r="E810" i="7"/>
  <c r="E520" i="7"/>
  <c r="E457" i="7"/>
  <c r="E290" i="7"/>
  <c r="E1143" i="7"/>
  <c r="E601" i="7"/>
  <c r="E735" i="7"/>
  <c r="D134" i="7"/>
  <c r="E327" i="7"/>
  <c r="E780" i="7"/>
  <c r="E882" i="7"/>
  <c r="E79" i="7"/>
  <c r="E920" i="7"/>
  <c r="E503" i="7"/>
  <c r="E878" i="7"/>
  <c r="E829" i="7"/>
  <c r="E689" i="7"/>
  <c r="E1057" i="7"/>
  <c r="D435" i="7"/>
  <c r="E848" i="7"/>
  <c r="E317" i="7"/>
  <c r="E324" i="7"/>
  <c r="E379" i="7"/>
  <c r="E125" i="7"/>
  <c r="E261" i="7"/>
  <c r="E526" i="7"/>
  <c r="E812" i="7"/>
  <c r="E303" i="7"/>
  <c r="E247" i="7"/>
  <c r="E786" i="7"/>
  <c r="E496" i="7"/>
  <c r="E433" i="7"/>
  <c r="E344" i="7"/>
  <c r="E340" i="7"/>
  <c r="E634" i="7"/>
  <c r="E527" i="7"/>
  <c r="E892" i="7"/>
  <c r="E507" i="7"/>
  <c r="E295" i="7"/>
  <c r="E195" i="7"/>
  <c r="E486" i="7"/>
  <c r="E406" i="7"/>
  <c r="E772" i="7"/>
  <c r="E474" i="7"/>
  <c r="E674" i="7"/>
  <c r="E397" i="7"/>
  <c r="E212" i="7"/>
  <c r="E834" i="7"/>
  <c r="E1012" i="7"/>
  <c r="E350" i="7"/>
  <c r="E311" i="7"/>
  <c r="E482" i="7"/>
  <c r="E617" i="7"/>
  <c r="E730" i="7"/>
  <c r="E320" i="7"/>
  <c r="E868" i="7"/>
  <c r="E688" i="7"/>
  <c r="E759" i="7"/>
  <c r="E1123" i="7"/>
  <c r="E1001" i="7"/>
  <c r="D72" i="7"/>
  <c r="E1166" i="7"/>
  <c r="E89" i="7"/>
  <c r="E310" i="7"/>
  <c r="E401" i="7"/>
  <c r="E276" i="7"/>
  <c r="E386" i="7"/>
  <c r="E938" i="7"/>
  <c r="E585" i="7"/>
  <c r="E362" i="7"/>
  <c r="E549" i="7"/>
  <c r="E914" i="7"/>
  <c r="E660" i="7"/>
  <c r="E561" i="7"/>
  <c r="E47" i="7"/>
  <c r="E334" i="7"/>
  <c r="E762" i="7"/>
  <c r="E472" i="7"/>
  <c r="E182" i="7"/>
  <c r="E226" i="7"/>
  <c r="E352" i="7"/>
  <c r="E348" i="7"/>
  <c r="E642" i="7"/>
  <c r="E535" i="7"/>
  <c r="E900" i="7"/>
  <c r="E603" i="7"/>
  <c r="E661" i="7"/>
  <c r="E576" i="7"/>
  <c r="E752" i="7"/>
  <c r="E886" i="7"/>
  <c r="E1095" i="7"/>
  <c r="E861" i="7"/>
  <c r="E791" i="7"/>
  <c r="E907" i="7"/>
  <c r="E326" i="7"/>
  <c r="E785" i="7"/>
  <c r="E522" i="7"/>
  <c r="E822" i="7"/>
  <c r="E1241" i="7"/>
  <c r="E1185" i="7"/>
  <c r="E1129" i="7"/>
  <c r="E1021" i="7"/>
  <c r="E393" i="7"/>
  <c r="D79" i="7"/>
  <c r="D117" i="7"/>
  <c r="E491" i="7"/>
  <c r="E905" i="7"/>
  <c r="E1248" i="7"/>
  <c r="E741" i="7"/>
  <c r="E671" i="7"/>
  <c r="E912" i="7"/>
  <c r="E931" i="7"/>
  <c r="E1207" i="7"/>
  <c r="E872" i="7"/>
  <c r="E734" i="7"/>
  <c r="E555" i="7"/>
  <c r="E921" i="7"/>
  <c r="E959" i="7"/>
  <c r="E1155" i="7"/>
  <c r="E946" i="7"/>
  <c r="E1145" i="7"/>
  <c r="E1158" i="7"/>
  <c r="E1172" i="7"/>
  <c r="E787" i="7"/>
  <c r="E1089" i="7"/>
  <c r="E1046" i="7"/>
  <c r="E1116" i="7"/>
  <c r="E838" i="7"/>
  <c r="E1033" i="7"/>
  <c r="E942" i="7"/>
  <c r="E1060" i="7"/>
  <c r="E1103" i="7"/>
  <c r="E1150" i="7"/>
  <c r="E1162" i="7"/>
  <c r="E1083" i="7"/>
  <c r="E731" i="7"/>
  <c r="E141" i="7"/>
  <c r="E95" i="7"/>
  <c r="E151" i="7"/>
  <c r="E130" i="7"/>
  <c r="D282" i="7"/>
  <c r="D186" i="7"/>
  <c r="D184" i="7"/>
  <c r="D455" i="7"/>
  <c r="D173" i="7"/>
  <c r="D697" i="7"/>
  <c r="D798" i="7"/>
  <c r="D574" i="7"/>
  <c r="E681" i="7"/>
  <c r="E1016" i="7"/>
  <c r="E1107" i="7"/>
  <c r="E622" i="7"/>
  <c r="E287" i="7"/>
  <c r="E881" i="7"/>
  <c r="E1216" i="7"/>
  <c r="E654" i="7"/>
  <c r="E845" i="7"/>
  <c r="E775" i="7"/>
  <c r="E697" i="7"/>
  <c r="E1032" i="7"/>
  <c r="E1171" i="7"/>
  <c r="E973" i="7"/>
  <c r="E1234" i="7"/>
  <c r="E1227" i="7"/>
  <c r="E948" i="7"/>
  <c r="E1182" i="7"/>
  <c r="E1178" i="7"/>
  <c r="E1115" i="7"/>
  <c r="E795" i="7"/>
  <c r="E1070" i="7"/>
  <c r="E1122" i="7"/>
  <c r="E1003" i="7"/>
  <c r="E918" i="7"/>
  <c r="E1181" i="7"/>
  <c r="E1139" i="7"/>
  <c r="E935" i="7"/>
  <c r="E1137" i="7"/>
  <c r="E1142" i="7"/>
  <c r="E421" i="7"/>
  <c r="E93" i="7"/>
  <c r="E282" i="7"/>
  <c r="E229" i="7"/>
  <c r="D570" i="7"/>
  <c r="D136" i="7"/>
  <c r="D255" i="7"/>
  <c r="D111" i="7"/>
  <c r="D192" i="7"/>
  <c r="D418" i="7"/>
  <c r="D891" i="7"/>
  <c r="D740" i="7"/>
  <c r="E294" i="7"/>
  <c r="E877" i="7"/>
  <c r="E807" i="7"/>
  <c r="E729" i="7"/>
  <c r="E1064" i="7"/>
  <c r="E870" i="7"/>
  <c r="E1037" i="7"/>
  <c r="E953" i="7"/>
  <c r="E672" i="7"/>
  <c r="E980" i="7"/>
  <c r="E1246" i="7"/>
  <c r="E1210" i="7"/>
  <c r="E1179" i="7"/>
  <c r="E923" i="7"/>
  <c r="E1134" i="7"/>
  <c r="E1154" i="7"/>
  <c r="E1067" i="7"/>
  <c r="E699" i="7"/>
  <c r="E1224" i="7"/>
  <c r="E1203" i="7"/>
  <c r="E970" i="7"/>
  <c r="E1169" i="7"/>
  <c r="E1206" i="7"/>
  <c r="E75" i="7"/>
  <c r="E668" i="7"/>
  <c r="E45" i="7"/>
  <c r="E566" i="7"/>
  <c r="E853" i="7"/>
  <c r="E385" i="7"/>
  <c r="E44" i="7"/>
  <c r="E494" i="7"/>
  <c r="E330" i="7"/>
  <c r="E529" i="7"/>
  <c r="E440" i="7"/>
  <c r="E316" i="7"/>
  <c r="E670" i="7"/>
  <c r="E548" i="7"/>
  <c r="E694" i="7"/>
  <c r="E889" i="7"/>
  <c r="E1086" i="7"/>
  <c r="E1008" i="7"/>
  <c r="E1077" i="7"/>
  <c r="E146" i="7"/>
  <c r="E606" i="7"/>
  <c r="E134" i="7"/>
  <c r="E104" i="7"/>
  <c r="E245" i="7"/>
  <c r="E447" i="7"/>
  <c r="E514" i="7"/>
  <c r="E343" i="7"/>
  <c r="E502" i="7"/>
  <c r="E422" i="7"/>
  <c r="E788" i="7"/>
  <c r="E490" i="7"/>
  <c r="E338" i="7"/>
  <c r="E525" i="7"/>
  <c r="E890" i="7"/>
  <c r="E636" i="7"/>
  <c r="E537" i="7"/>
  <c r="E91" i="7"/>
  <c r="E110" i="7"/>
  <c r="E366" i="7"/>
  <c r="E770" i="7"/>
  <c r="E480" i="7"/>
  <c r="E430" i="7"/>
  <c r="E562" i="7"/>
  <c r="E789" i="7"/>
  <c r="E719" i="7"/>
  <c r="E641" i="7"/>
  <c r="E976" i="7"/>
  <c r="E1252" i="7"/>
  <c r="E436" i="7"/>
  <c r="E919" i="7"/>
  <c r="E1176" i="7"/>
  <c r="E594" i="7"/>
  <c r="E683" i="7"/>
  <c r="E653" i="7"/>
  <c r="E1087" i="7"/>
  <c r="E1045" i="7"/>
  <c r="E1238" i="7"/>
  <c r="E1126" i="7"/>
  <c r="E945" i="7"/>
  <c r="E173" i="7"/>
  <c r="D431" i="7"/>
  <c r="D494" i="7"/>
  <c r="E768" i="7"/>
  <c r="E651" i="7"/>
  <c r="E1111" i="7"/>
  <c r="E869" i="7"/>
  <c r="E799" i="7"/>
  <c r="E721" i="7"/>
  <c r="E1056" i="7"/>
  <c r="E1251" i="7"/>
  <c r="E685" i="7"/>
  <c r="E610" i="7"/>
  <c r="E800" i="7"/>
  <c r="E715" i="7"/>
  <c r="E1127" i="7"/>
  <c r="E974" i="7"/>
  <c r="E1074" i="7"/>
  <c r="E1228" i="7"/>
  <c r="E499" i="7"/>
  <c r="E1205" i="7"/>
  <c r="E1018" i="7"/>
  <c r="E1217" i="7"/>
  <c r="E997" i="7"/>
  <c r="E1133" i="7"/>
  <c r="E962" i="7"/>
  <c r="E1161" i="7"/>
  <c r="E1190" i="7"/>
  <c r="E1093" i="7"/>
  <c r="E1231" i="7"/>
  <c r="E1085" i="7"/>
  <c r="E977" i="7"/>
  <c r="E604" i="7"/>
  <c r="E1068" i="7"/>
  <c r="E297" i="7"/>
  <c r="E395" i="7"/>
  <c r="E157" i="7"/>
  <c r="E82" i="7"/>
  <c r="D231" i="7"/>
  <c r="D727" i="7"/>
  <c r="D155" i="7"/>
  <c r="D547" i="7"/>
  <c r="D140" i="7"/>
  <c r="D165" i="7"/>
  <c r="D1251" i="7"/>
  <c r="D527" i="7"/>
  <c r="E809" i="7"/>
  <c r="E1144" i="7"/>
  <c r="E645" i="7"/>
  <c r="E910" i="7"/>
  <c r="E720" i="7"/>
  <c r="E758" i="7"/>
  <c r="E1079" i="7"/>
  <c r="E680" i="7"/>
  <c r="E547" i="7"/>
  <c r="E903" i="7"/>
  <c r="E825" i="7"/>
  <c r="E1160" i="7"/>
  <c r="E963" i="7"/>
  <c r="E626" i="7"/>
  <c r="E1049" i="7"/>
  <c r="E966" i="7"/>
  <c r="E1076" i="7"/>
  <c r="E595" i="7"/>
  <c r="E993" i="7"/>
  <c r="E739" i="7"/>
  <c r="E1020" i="7"/>
  <c r="E1005" i="7"/>
  <c r="E1250" i="7"/>
  <c r="E35" i="7"/>
  <c r="E964" i="7"/>
  <c r="E1007" i="7"/>
  <c r="E958" i="7"/>
  <c r="E1066" i="7"/>
  <c r="E1204" i="7"/>
  <c r="E390" i="7"/>
  <c r="E371" i="7"/>
  <c r="E202" i="7"/>
  <c r="E99" i="7"/>
  <c r="E409" i="7"/>
  <c r="D177" i="7"/>
  <c r="D181" i="7"/>
  <c r="D343" i="7"/>
  <c r="D460" i="7"/>
  <c r="D344" i="7"/>
  <c r="D537" i="7"/>
  <c r="D426" i="7"/>
  <c r="D855" i="7"/>
  <c r="E744" i="7"/>
  <c r="E500" i="7"/>
  <c r="E580" i="7"/>
  <c r="E857" i="7"/>
  <c r="E1192" i="7"/>
  <c r="E1027" i="7"/>
  <c r="E755" i="7"/>
  <c r="E1081" i="7"/>
  <c r="E1030" i="7"/>
  <c r="E1108" i="7"/>
  <c r="E774" i="7"/>
  <c r="E1025" i="7"/>
  <c r="E624" i="7"/>
  <c r="E1052" i="7"/>
  <c r="E1069" i="7"/>
  <c r="E969" i="7"/>
  <c r="E934" i="7"/>
  <c r="E996" i="7"/>
  <c r="E1039" i="7"/>
  <c r="E1022" i="7"/>
  <c r="E1098" i="7"/>
  <c r="E955" i="7"/>
  <c r="E726" i="7"/>
  <c r="E174" i="7"/>
  <c r="E1187" i="7"/>
  <c r="E517" i="7"/>
  <c r="E629" i="7"/>
  <c r="E103" i="7"/>
  <c r="E221" i="7"/>
  <c r="E684" i="7"/>
  <c r="E551" i="7"/>
  <c r="E478" i="7"/>
  <c r="E365" i="7"/>
  <c r="E644" i="7"/>
  <c r="E917" i="7"/>
  <c r="E769" i="7"/>
  <c r="E628" i="7"/>
  <c r="E896" i="7"/>
  <c r="E863" i="7"/>
  <c r="E926" i="7"/>
  <c r="E1229" i="7"/>
  <c r="E1156" i="7"/>
  <c r="E145" i="7"/>
  <c r="D995" i="7"/>
  <c r="E984" i="7"/>
  <c r="E468" i="7"/>
  <c r="E849" i="7"/>
  <c r="E609" i="7"/>
  <c r="E743" i="7"/>
  <c r="E1000" i="7"/>
  <c r="E1230" i="7"/>
  <c r="E1163" i="7"/>
  <c r="E1118" i="7"/>
  <c r="E1051" i="7"/>
  <c r="E1006" i="7"/>
  <c r="E937" i="7"/>
  <c r="E1117" i="7"/>
  <c r="E851" i="7"/>
  <c r="E1078" i="7"/>
  <c r="E162" i="7"/>
  <c r="E165" i="7"/>
  <c r="D238" i="7"/>
  <c r="D87" i="7"/>
  <c r="D439" i="7"/>
  <c r="D889" i="7"/>
  <c r="E588" i="7"/>
  <c r="E773" i="7"/>
  <c r="E613" i="7"/>
  <c r="E1196" i="7"/>
  <c r="E798" i="7"/>
  <c r="E619" i="7"/>
  <c r="E1219" i="7"/>
  <c r="E1177" i="7"/>
  <c r="E1157" i="7"/>
  <c r="E1121" i="7"/>
  <c r="E1148" i="7"/>
  <c r="E1065" i="7"/>
  <c r="E1092" i="7"/>
  <c r="E1214" i="7"/>
  <c r="E1147" i="7"/>
  <c r="E97" i="7"/>
  <c r="E77" i="7"/>
  <c r="D153" i="7"/>
  <c r="D306" i="7"/>
  <c r="D158" i="7"/>
  <c r="D895" i="7"/>
  <c r="E618" i="7"/>
  <c r="E664" i="7"/>
  <c r="E1047" i="7"/>
  <c r="E1010" i="7"/>
  <c r="E981" i="7"/>
  <c r="E954" i="7"/>
  <c r="E1174" i="7"/>
  <c r="E819" i="7"/>
  <c r="E1062" i="7"/>
  <c r="E1167" i="7"/>
  <c r="E1226" i="7"/>
  <c r="E939" i="7"/>
  <c r="E216" i="7"/>
  <c r="E417" i="7"/>
  <c r="E387" i="7"/>
  <c r="D519" i="7"/>
  <c r="D213" i="7"/>
  <c r="D523" i="7"/>
  <c r="D116" i="7"/>
  <c r="D191" i="7"/>
  <c r="D530" i="7"/>
  <c r="D700" i="7"/>
  <c r="D813" i="7"/>
  <c r="E590" i="7"/>
  <c r="E952" i="7"/>
  <c r="E65" i="7"/>
  <c r="E1055" i="7"/>
  <c r="E823" i="7"/>
  <c r="E177" i="7"/>
  <c r="E368" i="7"/>
  <c r="E916" i="7"/>
  <c r="E374" i="7"/>
  <c r="E346" i="7"/>
  <c r="E545" i="7"/>
  <c r="E686" i="7"/>
  <c r="E897" i="7"/>
  <c r="E733" i="7"/>
  <c r="E841" i="7"/>
  <c r="E784" i="7"/>
  <c r="E736" i="7"/>
  <c r="E986" i="7"/>
  <c r="E1199" i="7"/>
  <c r="E254" i="7"/>
  <c r="D961" i="7"/>
  <c r="E1112" i="7"/>
  <c r="E846" i="7"/>
  <c r="E563" i="7"/>
  <c r="E492" i="7"/>
  <c r="E871" i="7"/>
  <c r="E1128" i="7"/>
  <c r="E710" i="7"/>
  <c r="E925" i="7"/>
  <c r="E1053" i="7"/>
  <c r="E806" i="7"/>
  <c r="E941" i="7"/>
  <c r="E1195" i="7"/>
  <c r="E975" i="7"/>
  <c r="E1034" i="7"/>
  <c r="E1029" i="7"/>
  <c r="E36" i="7"/>
  <c r="E186" i="7"/>
  <c r="D46" i="7"/>
  <c r="D162" i="7"/>
  <c r="D775" i="7"/>
  <c r="D936" i="7"/>
  <c r="E779" i="7"/>
  <c r="E901" i="7"/>
  <c r="E753" i="7"/>
  <c r="E899" i="7"/>
  <c r="E647" i="7"/>
  <c r="E843" i="7"/>
  <c r="E1038" i="7"/>
  <c r="E971" i="7"/>
  <c r="E1213" i="7"/>
  <c r="E1249" i="7"/>
  <c r="E1109" i="7"/>
  <c r="E1193" i="7"/>
  <c r="E1221" i="7"/>
  <c r="E598" i="7"/>
  <c r="E867" i="7"/>
  <c r="E123" i="7"/>
  <c r="E191" i="7"/>
  <c r="D346" i="7"/>
  <c r="D107" i="7"/>
  <c r="D217" i="7"/>
  <c r="D520" i="7"/>
  <c r="E749" i="7"/>
  <c r="E928" i="7"/>
  <c r="E1215" i="7"/>
  <c r="E1138" i="7"/>
  <c r="E635" i="7"/>
  <c r="E1082" i="7"/>
  <c r="E484" i="7"/>
  <c r="E1026" i="7"/>
  <c r="E1013" i="7"/>
  <c r="E947" i="7"/>
  <c r="E1041" i="7"/>
  <c r="E1125" i="7"/>
  <c r="E270" i="7"/>
  <c r="E133" i="7"/>
  <c r="E163" i="7"/>
  <c r="D563" i="7"/>
  <c r="D156" i="7"/>
  <c r="D402" i="7"/>
  <c r="D783" i="7"/>
  <c r="D145" i="7"/>
  <c r="D452" i="7"/>
  <c r="D749" i="7"/>
  <c r="D1160" i="7"/>
  <c r="E263" i="7"/>
  <c r="E1113" i="7"/>
  <c r="E573" i="7"/>
  <c r="E63" i="7"/>
  <c r="E898" i="7"/>
  <c r="E459" i="7"/>
  <c r="E663" i="7"/>
  <c r="E1119" i="7"/>
  <c r="E933" i="7"/>
  <c r="D121" i="7"/>
  <c r="E586" i="7"/>
  <c r="E1031" i="7"/>
  <c r="E793" i="7"/>
  <c r="E1017" i="7"/>
  <c r="E961" i="7"/>
  <c r="E1218" i="7"/>
  <c r="E707" i="7"/>
  <c r="E403" i="7"/>
  <c r="D272" i="7"/>
  <c r="D95" i="7"/>
  <c r="E832" i="7"/>
  <c r="E831" i="7"/>
  <c r="E717" i="7"/>
  <c r="E1175" i="7"/>
  <c r="E790" i="7"/>
  <c r="E1061" i="7"/>
  <c r="E949" i="7"/>
  <c r="E1009" i="7"/>
  <c r="E363" i="7"/>
  <c r="D482" i="7"/>
  <c r="D645" i="7"/>
  <c r="E679" i="7"/>
  <c r="E1102" i="7"/>
  <c r="E990" i="7"/>
  <c r="E1237" i="7"/>
  <c r="E1165" i="7"/>
  <c r="E950" i="7"/>
  <c r="E147" i="7"/>
  <c r="E108" i="7"/>
  <c r="D416" i="7"/>
  <c r="D242" i="7"/>
  <c r="D849" i="7"/>
  <c r="D622" i="7"/>
  <c r="E71" i="7"/>
  <c r="E242" i="7"/>
  <c r="E222" i="7"/>
  <c r="D415" i="7"/>
  <c r="D417" i="7"/>
  <c r="D353" i="7"/>
  <c r="D264" i="7"/>
  <c r="D328" i="7"/>
  <c r="D142" i="7"/>
  <c r="D189" i="7"/>
  <c r="D569" i="7"/>
  <c r="D331" i="7"/>
  <c r="D313" i="7"/>
  <c r="D195" i="7"/>
  <c r="D288" i="7"/>
  <c r="D102" i="7"/>
  <c r="D50" i="7"/>
  <c r="D474" i="7"/>
  <c r="D128" i="7"/>
  <c r="D335" i="7"/>
  <c r="D298" i="7"/>
  <c r="D91" i="7"/>
  <c r="D97" i="7"/>
  <c r="D557" i="7"/>
  <c r="D679" i="7"/>
  <c r="D407" i="7"/>
  <c r="D526" i="7"/>
  <c r="D440" i="7"/>
  <c r="D860" i="7"/>
  <c r="D638" i="7"/>
  <c r="D1091" i="7"/>
  <c r="D534" i="7"/>
  <c r="D728" i="7"/>
  <c r="D777" i="7"/>
  <c r="D999" i="7"/>
  <c r="E1004" i="7"/>
  <c r="E148" i="7"/>
  <c r="E361" i="7"/>
  <c r="E100" i="7"/>
  <c r="E78" i="7"/>
  <c r="E353" i="7"/>
  <c r="E92" i="7"/>
  <c r="E281" i="7"/>
  <c r="E345" i="7"/>
  <c r="E84" i="7"/>
  <c r="E220" i="7"/>
  <c r="D442" i="7"/>
  <c r="D627" i="7"/>
  <c r="D319" i="7"/>
  <c r="D271" i="7"/>
  <c r="D59" i="7"/>
  <c r="D65" i="7"/>
  <c r="D225" i="7"/>
  <c r="D589" i="7"/>
  <c r="D587" i="7"/>
  <c r="D267" i="7"/>
  <c r="D244" i="7"/>
  <c r="D237" i="7"/>
  <c r="D180" i="7"/>
  <c r="D553" i="7"/>
  <c r="D323" i="7"/>
  <c r="D305" i="7"/>
  <c r="D163" i="7"/>
  <c r="D279" i="7"/>
  <c r="D94" i="7"/>
  <c r="D93" i="7"/>
  <c r="D466" i="7"/>
  <c r="D363" i="7"/>
  <c r="D479" i="7"/>
  <c r="D773" i="7"/>
  <c r="D636" i="7"/>
  <c r="D618" i="7"/>
  <c r="D840" i="7"/>
  <c r="D949" i="7"/>
  <c r="D1006" i="7"/>
  <c r="D1073" i="7"/>
  <c r="D982" i="7"/>
  <c r="D1231" i="7"/>
  <c r="E1149" i="7"/>
  <c r="E211" i="7"/>
  <c r="E128" i="7"/>
  <c r="E158" i="7"/>
  <c r="E192" i="7"/>
  <c r="E117" i="7"/>
  <c r="E391" i="7"/>
  <c r="E181" i="7"/>
  <c r="E194" i="7"/>
  <c r="E121" i="7"/>
  <c r="D489" i="7"/>
  <c r="D307" i="7"/>
  <c r="D289" i="7"/>
  <c r="D99" i="7"/>
  <c r="D232" i="7"/>
  <c r="D78" i="7"/>
  <c r="D61" i="7"/>
  <c r="D791" i="7"/>
  <c r="D212" i="7"/>
  <c r="D258" i="7"/>
  <c r="D197" i="7"/>
  <c r="D206" i="7"/>
  <c r="D38" i="7"/>
  <c r="D194" i="7"/>
  <c r="D577" i="7"/>
  <c r="D579" i="7"/>
  <c r="D228" i="7"/>
  <c r="D214" i="7"/>
  <c r="D229" i="7"/>
  <c r="D172" i="7"/>
  <c r="D293" i="7"/>
  <c r="D743" i="7"/>
  <c r="D665" i="7"/>
  <c r="D590" i="7"/>
  <c r="D667" i="7"/>
  <c r="D924" i="7"/>
  <c r="D766" i="7"/>
  <c r="D1219" i="7"/>
  <c r="D725" i="7"/>
  <c r="D1134" i="7"/>
  <c r="D446" i="7"/>
  <c r="D357" i="7"/>
  <c r="D702" i="7"/>
  <c r="D904" i="7"/>
  <c r="D1155" i="7"/>
  <c r="D1220" i="7"/>
  <c r="D943" i="7"/>
  <c r="D495" i="7"/>
  <c r="D789" i="7"/>
  <c r="E376" i="7"/>
  <c r="E286" i="7"/>
  <c r="D492" i="7"/>
  <c r="E364" i="7"/>
  <c r="E764" i="7"/>
  <c r="E571" i="7"/>
  <c r="E1104" i="7"/>
  <c r="E1191" i="7"/>
  <c r="E771" i="7"/>
  <c r="E531" i="7"/>
  <c r="E649" i="7"/>
  <c r="E927" i="7"/>
  <c r="E813" i="7"/>
  <c r="E1043" i="7"/>
  <c r="E891" i="7"/>
  <c r="E667" i="7"/>
  <c r="E640" i="7"/>
  <c r="E1105" i="7"/>
  <c r="E120" i="7"/>
  <c r="D218" i="7"/>
  <c r="D731" i="7"/>
  <c r="E983" i="7"/>
  <c r="E960" i="7"/>
  <c r="E508" i="7"/>
  <c r="E978" i="7"/>
  <c r="E915" i="7"/>
  <c r="E691" i="7"/>
  <c r="E1135" i="7"/>
  <c r="E859" i="7"/>
  <c r="E188" i="7"/>
  <c r="D437" i="7"/>
  <c r="D763" i="7"/>
  <c r="E416" i="7"/>
  <c r="E1209" i="7"/>
  <c r="E1153" i="7"/>
  <c r="E1097" i="7"/>
  <c r="E957" i="7"/>
  <c r="E425" i="7"/>
  <c r="E208" i="7"/>
  <c r="D269" i="7"/>
  <c r="D247" i="7"/>
  <c r="D147" i="7"/>
  <c r="D1062" i="7"/>
  <c r="E389" i="7"/>
  <c r="E250" i="7"/>
  <c r="E61" i="7"/>
  <c r="E50" i="7"/>
  <c r="D751" i="7"/>
  <c r="D246" i="7"/>
  <c r="D169" i="7"/>
  <c r="D41" i="7"/>
  <c r="D179" i="7"/>
  <c r="D103" i="7"/>
  <c r="D154" i="7"/>
  <c r="D663" i="7"/>
  <c r="D388" i="7"/>
  <c r="D366" i="7"/>
  <c r="D56" i="7"/>
  <c r="D241" i="7"/>
  <c r="D259" i="7"/>
  <c r="D98" i="7"/>
  <c r="D374" i="7"/>
  <c r="D515" i="7"/>
  <c r="D392" i="7"/>
  <c r="D223" i="7"/>
  <c r="D167" i="7"/>
  <c r="D108" i="7"/>
  <c r="D503" i="7"/>
  <c r="D326" i="7"/>
  <c r="D729" i="7"/>
  <c r="D481" i="7"/>
  <c r="D795" i="7"/>
  <c r="D998" i="7"/>
  <c r="D894" i="7"/>
  <c r="D1183" i="7"/>
  <c r="D472" i="7"/>
  <c r="D1067" i="7"/>
  <c r="D496" i="7"/>
  <c r="D809" i="7"/>
  <c r="E1132" i="7"/>
  <c r="E339" i="7"/>
  <c r="E51" i="7"/>
  <c r="E138" i="7"/>
  <c r="E331" i="7"/>
  <c r="E241" i="7"/>
  <c r="E127" i="7"/>
  <c r="E323" i="7"/>
  <c r="E233" i="7"/>
  <c r="E105" i="7"/>
  <c r="E48" i="7"/>
  <c r="D565" i="7"/>
  <c r="D499" i="7"/>
  <c r="D364" i="7"/>
  <c r="D176" i="7"/>
  <c r="D101" i="7"/>
  <c r="D92" i="7"/>
  <c r="D82" i="7"/>
  <c r="D477" i="7"/>
  <c r="D459" i="7"/>
  <c r="D284" i="7"/>
  <c r="D384" i="7"/>
  <c r="D198" i="7"/>
  <c r="D157" i="7"/>
  <c r="D655" i="7"/>
  <c r="D372" i="7"/>
  <c r="D350" i="7"/>
  <c r="D394" i="7"/>
  <c r="D215" i="7"/>
  <c r="D251" i="7"/>
  <c r="D106" i="7"/>
  <c r="D594" i="7"/>
  <c r="D516" i="7"/>
  <c r="D429" i="7"/>
  <c r="D913" i="7"/>
  <c r="D764" i="7"/>
  <c r="D837" i="7"/>
  <c r="D1190" i="7"/>
  <c r="D737" i="7"/>
  <c r="D742" i="7"/>
  <c r="D1111" i="7"/>
  <c r="D946" i="7"/>
  <c r="D786" i="7"/>
  <c r="E293" i="7"/>
  <c r="E38" i="7"/>
  <c r="E248" i="7"/>
  <c r="E285" i="7"/>
  <c r="E253" i="7"/>
  <c r="E240" i="7"/>
  <c r="E139" i="7"/>
  <c r="E198" i="7"/>
  <c r="E232" i="7"/>
  <c r="E101" i="7"/>
  <c r="D610" i="7"/>
  <c r="D340" i="7"/>
  <c r="D318" i="7"/>
  <c r="D378" i="7"/>
  <c r="D127" i="7"/>
  <c r="D235" i="7"/>
  <c r="D90" i="7"/>
  <c r="D546" i="7"/>
  <c r="D278" i="7"/>
  <c r="D239" i="7"/>
  <c r="D338" i="7"/>
  <c r="D104" i="7"/>
  <c r="D149" i="7"/>
  <c r="D524" i="7"/>
  <c r="D469" i="7"/>
  <c r="D451" i="7"/>
  <c r="D216" i="7"/>
  <c r="D376" i="7"/>
  <c r="D190" i="7"/>
  <c r="D44" i="7"/>
  <c r="D609" i="7"/>
  <c r="D473" i="7"/>
  <c r="D793" i="7"/>
  <c r="D560" i="7"/>
  <c r="D859" i="7"/>
  <c r="D449" i="7"/>
  <c r="D739" i="7"/>
  <c r="D1156" i="7"/>
  <c r="D931" i="7"/>
  <c r="D1071" i="7"/>
  <c r="D929" i="7"/>
  <c r="D669" i="7"/>
  <c r="D830" i="7"/>
  <c r="D1094" i="7"/>
  <c r="D991" i="7"/>
  <c r="D935" i="7"/>
  <c r="D882" i="7"/>
  <c r="D438" i="7"/>
  <c r="D921" i="7"/>
  <c r="E837" i="7"/>
  <c r="E556" i="7"/>
  <c r="E847" i="7"/>
  <c r="E1120" i="7"/>
  <c r="D320" i="7"/>
  <c r="E1184" i="7"/>
  <c r="E1202" i="7"/>
  <c r="E1090" i="7"/>
  <c r="E142" i="7"/>
  <c r="D234" i="7"/>
  <c r="E703" i="7"/>
  <c r="E999" i="7"/>
  <c r="E1110" i="7"/>
  <c r="E1194" i="7"/>
  <c r="D58" i="7"/>
  <c r="E862" i="7"/>
  <c r="E1101" i="7"/>
  <c r="E1124" i="7"/>
  <c r="E59" i="7"/>
  <c r="D178" i="7"/>
  <c r="D593" i="7"/>
  <c r="E355" i="7"/>
  <c r="E170" i="7"/>
  <c r="D325" i="7"/>
  <c r="D410" i="7"/>
  <c r="D109" i="7"/>
  <c r="D114" i="7"/>
  <c r="D491" i="7"/>
  <c r="D144" i="7"/>
  <c r="D52" i="7"/>
  <c r="D414" i="7"/>
  <c r="D152" i="7"/>
  <c r="D71" i="7"/>
  <c r="D562" i="7"/>
  <c r="D379" i="7"/>
  <c r="D732" i="7"/>
  <c r="D1158" i="7"/>
  <c r="D941" i="7"/>
  <c r="D984" i="7"/>
  <c r="E357" i="7"/>
  <c r="E280" i="7"/>
  <c r="E137" i="7"/>
  <c r="E325" i="7"/>
  <c r="E264" i="7"/>
  <c r="D687" i="7"/>
  <c r="D382" i="7"/>
  <c r="D257" i="7"/>
  <c r="D122" i="7"/>
  <c r="D324" i="7"/>
  <c r="D370" i="7"/>
  <c r="D227" i="7"/>
  <c r="D533" i="7"/>
  <c r="D332" i="7"/>
  <c r="D69" i="7"/>
  <c r="D567" i="7"/>
  <c r="D761" i="7"/>
  <c r="D827" i="7"/>
  <c r="D926" i="7"/>
  <c r="D803" i="7"/>
  <c r="D801" i="7"/>
  <c r="E1164" i="7"/>
  <c r="E217" i="7"/>
  <c r="E299" i="7"/>
  <c r="E57" i="7"/>
  <c r="E200" i="7"/>
  <c r="E279" i="7"/>
  <c r="D467" i="7"/>
  <c r="D48" i="7"/>
  <c r="D60" i="7"/>
  <c r="D445" i="7"/>
  <c r="D207" i="7"/>
  <c r="D166" i="7"/>
  <c r="D367" i="7"/>
  <c r="D286" i="7"/>
  <c r="D200" i="7"/>
  <c r="D493" i="7"/>
  <c r="D548" i="7"/>
  <c r="D608" i="7"/>
  <c r="D869" i="7"/>
  <c r="D401" i="7"/>
  <c r="D532" i="7"/>
  <c r="D396" i="7"/>
  <c r="D1027" i="7"/>
  <c r="D1013" i="7"/>
  <c r="D464" i="7"/>
  <c r="D772" i="7"/>
  <c r="D845" i="7"/>
  <c r="D799" i="7"/>
  <c r="D971" i="7"/>
  <c r="D674" i="7"/>
  <c r="D1224" i="7"/>
  <c r="D681" i="7"/>
  <c r="D383" i="7"/>
  <c r="D811" i="7"/>
  <c r="D750" i="7"/>
  <c r="D666" i="7"/>
  <c r="D454" i="7"/>
  <c r="D863" i="7"/>
  <c r="D1196" i="7"/>
  <c r="D933" i="7"/>
  <c r="D712" i="7"/>
  <c r="D1059" i="7"/>
  <c r="D1024" i="7"/>
  <c r="D1077" i="7"/>
  <c r="D230" i="7"/>
  <c r="D592" i="7"/>
  <c r="D867" i="7"/>
  <c r="D513" i="7"/>
  <c r="D806" i="7"/>
  <c r="D1070" i="7"/>
  <c r="D35" i="7"/>
  <c r="D755" i="7"/>
  <c r="D722" i="7"/>
  <c r="D615" i="7"/>
  <c r="D865" i="7"/>
  <c r="D448" i="7"/>
  <c r="D1238" i="7"/>
  <c r="D735" i="7"/>
  <c r="D916" i="7"/>
  <c r="D1064" i="7"/>
  <c r="D695" i="7"/>
  <c r="D1092" i="7"/>
  <c r="D1141" i="7"/>
  <c r="D226" i="7"/>
  <c r="D661" i="7"/>
  <c r="D899" i="7"/>
  <c r="D405" i="7"/>
  <c r="D838" i="7"/>
  <c r="D1102" i="7"/>
  <c r="D1007" i="7"/>
  <c r="D650" i="7"/>
  <c r="D988" i="7"/>
  <c r="D365" i="7"/>
  <c r="D897" i="7"/>
  <c r="D576" i="7"/>
  <c r="D1043" i="7"/>
  <c r="D457" i="7"/>
  <c r="D317" i="7"/>
  <c r="H36" i="7"/>
  <c r="D406" i="7"/>
  <c r="D947" i="7"/>
  <c r="D919" i="7"/>
  <c r="D1168" i="7"/>
  <c r="D420" i="7"/>
  <c r="D767" i="7"/>
  <c r="D689" i="7"/>
  <c r="D620" i="7"/>
  <c r="D715" i="7"/>
  <c r="D958" i="7"/>
  <c r="D694" i="7"/>
  <c r="D888" i="7"/>
  <c r="D1147" i="7"/>
  <c r="D1128" i="7"/>
  <c r="D1029" i="7"/>
  <c r="D1186" i="7"/>
  <c r="D810" i="7"/>
  <c r="D450" i="7"/>
  <c r="D75" i="7"/>
  <c r="D652" i="7"/>
  <c r="D653" i="7"/>
  <c r="D910" i="7"/>
  <c r="D1174" i="7"/>
  <c r="D1151" i="7"/>
  <c r="D922" i="7"/>
  <c r="D549" i="7"/>
  <c r="D671" i="7"/>
  <c r="D375" i="7"/>
  <c r="D518" i="7"/>
  <c r="D373" i="7"/>
  <c r="D852" i="7"/>
  <c r="D925" i="7"/>
  <c r="D696" i="7"/>
  <c r="D1051" i="7"/>
  <c r="D903" i="7"/>
  <c r="D1056" i="7"/>
  <c r="D847" i="7"/>
  <c r="E153" i="7"/>
  <c r="D1170" i="7"/>
  <c r="D89" i="7"/>
  <c r="D875" i="7"/>
  <c r="D575" i="7"/>
  <c r="D814" i="7"/>
  <c r="D1078" i="7"/>
  <c r="D951" i="7"/>
  <c r="D807" i="7"/>
  <c r="D754" i="7"/>
  <c r="D586" i="7"/>
  <c r="D508" i="7"/>
  <c r="D397" i="7"/>
  <c r="D905" i="7"/>
  <c r="D756" i="7"/>
  <c r="D829" i="7"/>
  <c r="D675" i="7"/>
  <c r="D955" i="7"/>
  <c r="D1002" i="7"/>
  <c r="D634" i="7"/>
  <c r="D1210" i="7"/>
  <c r="E40" i="7"/>
  <c r="D771" i="7"/>
  <c r="D185" i="7"/>
  <c r="D602" i="7"/>
  <c r="D1192" i="7"/>
  <c r="D250" i="7"/>
  <c r="D1248" i="7"/>
  <c r="D723" i="7"/>
  <c r="D688" i="7"/>
  <c r="D930" i="7"/>
  <c r="D1090" i="7"/>
  <c r="E90" i="7"/>
  <c r="D784" i="7"/>
  <c r="E236" i="7"/>
  <c r="D614" i="7"/>
  <c r="D1021" i="7"/>
  <c r="D914" i="7"/>
  <c r="D864" i="7"/>
  <c r="D631" i="7"/>
  <c r="D356" i="7"/>
  <c r="D334" i="7"/>
  <c r="D386" i="7"/>
  <c r="D133" i="7"/>
  <c r="D243" i="7"/>
  <c r="D1167" i="7"/>
  <c r="D980" i="7"/>
  <c r="D1057" i="7"/>
  <c r="D1152" i="7"/>
  <c r="D1095" i="7"/>
  <c r="D552" i="7"/>
  <c r="D1068" i="7"/>
  <c r="D970" i="7"/>
  <c r="E114" i="7"/>
  <c r="D879" i="7"/>
  <c r="E96" i="7"/>
  <c r="D1241" i="7"/>
  <c r="D1240" i="7"/>
  <c r="D584" i="7"/>
  <c r="D672" i="7"/>
  <c r="D277" i="7"/>
  <c r="D283" i="7"/>
  <c r="D161" i="7"/>
  <c r="D249" i="7"/>
  <c r="D256" i="7"/>
  <c r="D54" i="7"/>
  <c r="D130" i="7"/>
  <c r="D932" i="7"/>
  <c r="D1113" i="7"/>
  <c r="D1178" i="7"/>
  <c r="D768" i="7"/>
  <c r="E228" i="7"/>
  <c r="D1201" i="7"/>
  <c r="D1226" i="7"/>
  <c r="D1041" i="7"/>
  <c r="D1144" i="7"/>
  <c r="D1079" i="7"/>
  <c r="D421" i="7"/>
  <c r="D436" i="7"/>
  <c r="D428" i="7"/>
  <c r="D385" i="7"/>
  <c r="D64" i="7"/>
  <c r="D336" i="7"/>
  <c r="D150" i="7"/>
  <c r="D209" i="7"/>
  <c r="D802" i="7"/>
  <c r="D1035" i="7"/>
  <c r="D745" i="7"/>
  <c r="D878" i="7"/>
  <c r="D528" i="7"/>
  <c r="E58" i="7"/>
  <c r="D1203" i="7"/>
  <c r="D522" i="7"/>
  <c r="D583" i="7"/>
  <c r="D692" i="7"/>
  <c r="D960" i="7"/>
  <c r="D659" i="7"/>
  <c r="D880" i="7"/>
  <c r="D327" i="7"/>
  <c r="D908" i="7"/>
  <c r="D808" i="7"/>
  <c r="D1124" i="7"/>
  <c r="D424" i="7"/>
  <c r="D309" i="7"/>
  <c r="D915" i="7"/>
  <c r="D854" i="7"/>
  <c r="D850" i="7"/>
  <c r="D1017" i="7"/>
  <c r="D507" i="7"/>
  <c r="D812" i="7"/>
  <c r="D616" i="7"/>
  <c r="D834" i="7"/>
  <c r="D551" i="7"/>
  <c r="D753" i="7"/>
  <c r="D819" i="7"/>
  <c r="D1016" i="7"/>
  <c r="D1069" i="7"/>
  <c r="E260" i="7"/>
  <c r="D347" i="7"/>
  <c r="D1137" i="7"/>
  <c r="D964" i="7"/>
  <c r="D985" i="7"/>
  <c r="D640" i="7"/>
  <c r="D1081" i="7"/>
  <c r="D1080" i="7"/>
  <c r="D1153" i="7"/>
  <c r="D509" i="7"/>
  <c r="D316" i="7"/>
  <c r="D53" i="7"/>
  <c r="D1140" i="7"/>
  <c r="D762" i="7"/>
  <c r="D1116" i="7"/>
  <c r="D1249" i="7"/>
  <c r="D1212" i="7"/>
  <c r="E66" i="7"/>
  <c r="D969" i="7"/>
  <c r="D535" i="7"/>
  <c r="D193" i="7"/>
  <c r="D221" i="7"/>
  <c r="D997" i="7"/>
  <c r="D816" i="7"/>
  <c r="D1154" i="7"/>
  <c r="D912" i="7"/>
  <c r="D746" i="7"/>
  <c r="D1100" i="7"/>
  <c r="D514" i="7"/>
  <c r="D96" i="7"/>
  <c r="D40" i="7"/>
  <c r="E602" i="7"/>
  <c r="E677" i="7"/>
  <c r="E632" i="7"/>
  <c r="E402" i="7"/>
  <c r="E176" i="7"/>
  <c r="E466" i="7"/>
  <c r="E1240" i="7"/>
  <c r="E1042" i="7"/>
  <c r="E777" i="7"/>
  <c r="E414" i="7"/>
  <c r="E1044" i="7"/>
  <c r="E596" i="7"/>
  <c r="E289" i="7"/>
  <c r="D966" i="7"/>
  <c r="E1088" i="7"/>
  <c r="E1106" i="7"/>
  <c r="E994" i="7"/>
  <c r="E1100" i="7"/>
  <c r="D413" i="7"/>
  <c r="E611" i="7"/>
  <c r="E1244" i="7"/>
  <c r="E902" i="7"/>
  <c r="E262" i="7"/>
  <c r="D199" i="7"/>
  <c r="D887" i="7"/>
  <c r="E377" i="7"/>
  <c r="E252" i="7"/>
  <c r="D131" i="7"/>
  <c r="D314" i="7"/>
  <c r="D143" i="7"/>
  <c r="D411" i="7"/>
  <c r="D311" i="7"/>
  <c r="D43" i="7"/>
  <c r="D403" i="7"/>
  <c r="D337" i="7"/>
  <c r="D312" i="7"/>
  <c r="D125" i="7"/>
  <c r="D591" i="7"/>
  <c r="D709" i="7"/>
  <c r="D512" i="7"/>
  <c r="D996" i="7"/>
  <c r="D1044" i="7"/>
  <c r="D1182" i="7"/>
  <c r="E39" i="7"/>
  <c r="E206" i="7"/>
  <c r="E94" i="7"/>
  <c r="E227" i="7"/>
  <c r="E185" i="7"/>
  <c r="D339" i="7"/>
  <c r="D129" i="7"/>
  <c r="D110" i="7"/>
  <c r="D441" i="7"/>
  <c r="D280" i="7"/>
  <c r="D281" i="7"/>
  <c r="D74" i="7"/>
  <c r="D611" i="7"/>
  <c r="D208" i="7"/>
  <c r="D204" i="7"/>
  <c r="D711" i="7"/>
  <c r="D558" i="7"/>
  <c r="D892" i="7"/>
  <c r="D1123" i="7"/>
  <c r="D994" i="7"/>
  <c r="D490" i="7"/>
  <c r="E166" i="7"/>
  <c r="E68" i="7"/>
  <c r="E321" i="7"/>
  <c r="E419" i="7"/>
  <c r="E52" i="7"/>
  <c r="D621" i="7"/>
  <c r="D287" i="7"/>
  <c r="D245" i="7"/>
  <c r="D119" i="7"/>
  <c r="D555" i="7"/>
  <c r="D171" i="7"/>
  <c r="D148" i="7"/>
  <c r="D291" i="7"/>
  <c r="D265" i="7"/>
  <c r="D62" i="7"/>
  <c r="D498" i="7"/>
  <c r="D543" i="7"/>
  <c r="D668" i="7"/>
  <c r="D1026" i="7"/>
  <c r="D544" i="7"/>
  <c r="D781" i="7"/>
  <c r="D968" i="7"/>
  <c r="D1247" i="7"/>
  <c r="D641" i="7"/>
  <c r="D359" i="7"/>
  <c r="D900" i="7"/>
  <c r="D646" i="7"/>
  <c r="D792" i="7"/>
  <c r="D1099" i="7"/>
  <c r="D1108" i="7"/>
  <c r="D1165" i="7"/>
  <c r="D276" i="7"/>
  <c r="D427" i="7"/>
  <c r="D748" i="7"/>
  <c r="D604" i="7"/>
  <c r="D485" i="7"/>
  <c r="D937" i="7"/>
  <c r="D987" i="7"/>
  <c r="E204" i="7"/>
  <c r="D734" i="7"/>
  <c r="D978" i="7"/>
  <c r="D1187" i="7"/>
  <c r="D1025" i="7"/>
  <c r="D1063" i="7"/>
  <c r="D559" i="7"/>
  <c r="D825" i="7"/>
  <c r="D676" i="7"/>
  <c r="D701" i="7"/>
  <c r="D944" i="7"/>
  <c r="D1198" i="7"/>
  <c r="D1199" i="7"/>
  <c r="D1028" i="7"/>
  <c r="D596" i="7"/>
  <c r="D510" i="7"/>
  <c r="D607" i="7"/>
  <c r="D917" i="7"/>
  <c r="D456" i="7"/>
  <c r="D657" i="7"/>
  <c r="D662" i="7"/>
  <c r="D1216" i="7"/>
  <c r="D51" i="7"/>
  <c r="D1161" i="7"/>
  <c r="D1191" i="7"/>
  <c r="D605" i="7"/>
  <c r="D857" i="7"/>
  <c r="D708" i="7"/>
  <c r="D765" i="7"/>
  <c r="D976" i="7"/>
  <c r="D1230" i="7"/>
  <c r="D349" i="7"/>
  <c r="D1096" i="7"/>
  <c r="D628" i="7"/>
  <c r="D542" i="7"/>
  <c r="D504" i="7"/>
  <c r="D624" i="7"/>
  <c r="D972" i="7"/>
  <c r="D785" i="7"/>
  <c r="D790" i="7"/>
  <c r="D1223" i="7"/>
  <c r="D55" i="7"/>
  <c r="D1075" i="7"/>
  <c r="D1060" i="7"/>
  <c r="D1109" i="7"/>
  <c r="D395" i="7"/>
  <c r="D521" i="7"/>
  <c r="D342" i="7"/>
  <c r="D612" i="7"/>
  <c r="D883" i="7"/>
  <c r="D617" i="7"/>
  <c r="D822" i="7"/>
  <c r="D1086" i="7"/>
  <c r="D967" i="7"/>
  <c r="D1047" i="7"/>
  <c r="D956" i="7"/>
  <c r="D1084" i="7"/>
  <c r="D1117" i="7"/>
  <c r="D371" i="7"/>
  <c r="D81" i="7"/>
  <c r="D780" i="7"/>
  <c r="D853" i="7"/>
  <c r="D831" i="7"/>
  <c r="D979" i="7"/>
  <c r="D706" i="7"/>
  <c r="D1232" i="7"/>
  <c r="D487" i="7"/>
  <c r="D57" i="7"/>
  <c r="D721" i="7"/>
  <c r="D409" i="7"/>
  <c r="D779" i="7"/>
  <c r="D990" i="7"/>
  <c r="D726" i="7"/>
  <c r="D962" i="7"/>
  <c r="D1179" i="7"/>
  <c r="D1005" i="7"/>
  <c r="D1157" i="7"/>
  <c r="E88" i="7"/>
  <c r="D1048" i="7"/>
  <c r="D160" i="7"/>
  <c r="D135" i="7"/>
  <c r="D684" i="7"/>
  <c r="D717" i="7"/>
  <c r="D952" i="7"/>
  <c r="D1206" i="7"/>
  <c r="D1215" i="7"/>
  <c r="D1040" i="7"/>
  <c r="D47" i="7"/>
  <c r="D703" i="7"/>
  <c r="D600" i="7"/>
  <c r="D550" i="7"/>
  <c r="D536" i="7"/>
  <c r="D884" i="7"/>
  <c r="D630" i="7"/>
  <c r="D760" i="7"/>
  <c r="D1083" i="7"/>
  <c r="D714" i="7"/>
  <c r="D1088" i="7"/>
  <c r="D832" i="7"/>
  <c r="D1105" i="7"/>
  <c r="D613" i="7"/>
  <c r="D304" i="7"/>
  <c r="D1076" i="7"/>
  <c r="D1133" i="7"/>
  <c r="D698" i="7"/>
  <c r="D1061" i="7"/>
  <c r="D1052" i="7"/>
  <c r="D954" i="7"/>
  <c r="D1185" i="7"/>
  <c r="D1218" i="7"/>
  <c r="D1148" i="7"/>
  <c r="D1032" i="7"/>
  <c r="E199" i="7"/>
  <c r="D874" i="7"/>
  <c r="D1149" i="7"/>
  <c r="D1228" i="7"/>
  <c r="D1074" i="7"/>
  <c r="D355" i="7"/>
  <c r="D603" i="7"/>
  <c r="D295" i="7"/>
  <c r="D273" i="7"/>
  <c r="D253" i="7"/>
  <c r="D196" i="7"/>
  <c r="D738" i="7"/>
  <c r="D940" i="7"/>
  <c r="D691" i="7"/>
  <c r="D965" i="7"/>
  <c r="D690" i="7"/>
  <c r="D752" i="7"/>
  <c r="D1001" i="7"/>
  <c r="D1122" i="7"/>
  <c r="E132" i="7"/>
  <c r="D848" i="7"/>
  <c r="E268" i="7"/>
  <c r="D682" i="7"/>
  <c r="D1053" i="7"/>
  <c r="D1034" i="7"/>
  <c r="D934" i="7"/>
  <c r="D578" i="7"/>
  <c r="D292" i="7"/>
  <c r="D224" i="7"/>
  <c r="D354" i="7"/>
  <c r="D168" i="7"/>
  <c r="D211" i="7"/>
  <c r="D1184" i="7"/>
  <c r="D1159" i="7"/>
  <c r="D815" i="7"/>
  <c r="D1132" i="7"/>
  <c r="D1020" i="7"/>
  <c r="E178" i="7"/>
  <c r="D656" i="7"/>
  <c r="E140" i="7"/>
  <c r="D626" i="7"/>
  <c r="D957" i="7"/>
  <c r="D658" i="7"/>
  <c r="D736" i="7"/>
  <c r="D759" i="7"/>
  <c r="D262" i="7"/>
  <c r="D210" i="7"/>
  <c r="D105" i="7"/>
  <c r="D113" i="7"/>
  <c r="D115" i="7"/>
  <c r="D66" i="7"/>
  <c r="D500" i="7"/>
  <c r="D1126" i="7"/>
  <c r="D220" i="7"/>
  <c r="D846" i="7"/>
  <c r="D582" i="7"/>
  <c r="D824" i="7"/>
  <c r="D1119" i="7"/>
  <c r="D858" i="7"/>
  <c r="D588" i="7"/>
  <c r="D561" i="7"/>
  <c r="D836" i="7"/>
  <c r="D909" i="7"/>
  <c r="D938" i="7"/>
  <c r="D1037" i="7"/>
  <c r="D597" i="7"/>
  <c r="D1045" i="7"/>
  <c r="D1054" i="7"/>
  <c r="D1004" i="7"/>
  <c r="D1089" i="7"/>
  <c r="D444" i="7"/>
  <c r="D841" i="7"/>
  <c r="D733" i="7"/>
  <c r="D1214" i="7"/>
  <c r="D1193" i="7"/>
  <c r="D1164" i="7"/>
  <c r="D635" i="7"/>
  <c r="D654" i="7"/>
  <c r="D1107" i="7"/>
  <c r="D1173" i="7"/>
  <c r="D581" i="7"/>
  <c r="D693" i="7"/>
  <c r="D480" i="7"/>
  <c r="D1039" i="7"/>
  <c r="D1244" i="7"/>
  <c r="D1245" i="7"/>
  <c r="D100" i="7"/>
  <c r="D885" i="7"/>
  <c r="D1011" i="7"/>
  <c r="D981" i="7"/>
  <c r="D301" i="7"/>
  <c r="D387" i="7"/>
  <c r="D758" i="7"/>
  <c r="D1211" i="7"/>
  <c r="D975" i="7"/>
  <c r="D1176" i="7"/>
  <c r="D118" i="7"/>
  <c r="D1175" i="7"/>
  <c r="D1189" i="7"/>
  <c r="D1114" i="7"/>
  <c r="E129" i="7"/>
  <c r="D1162" i="7"/>
  <c r="D959" i="7"/>
  <c r="D1202" i="7"/>
  <c r="D475" i="7"/>
  <c r="D80" i="7"/>
  <c r="D68" i="7"/>
  <c r="D1197" i="7"/>
  <c r="D1093" i="7"/>
  <c r="D1010" i="7"/>
  <c r="D1250" i="7"/>
  <c r="D1066" i="7"/>
  <c r="D948" i="7"/>
  <c r="D1106" i="7"/>
  <c r="D571" i="7"/>
  <c r="D137" i="7"/>
  <c r="D164" i="7"/>
  <c r="D818" i="7"/>
  <c r="D1065" i="7"/>
  <c r="D1012" i="7"/>
  <c r="E69" i="7"/>
  <c r="D1085" i="7"/>
  <c r="D1000" i="7"/>
  <c r="D187" i="7"/>
  <c r="D322" i="7"/>
  <c r="D175" i="7"/>
  <c r="E658" i="7"/>
  <c r="E972" i="7"/>
  <c r="E161" i="7"/>
  <c r="E405" i="7"/>
  <c r="E533" i="7"/>
  <c r="E830" i="7"/>
  <c r="E1189" i="7"/>
  <c r="E979" i="7"/>
  <c r="E665" i="7"/>
  <c r="E1146" i="7"/>
  <c r="E1075" i="7"/>
  <c r="D390" i="7"/>
  <c r="E444" i="7"/>
  <c r="E936" i="7"/>
  <c r="E1222" i="7"/>
  <c r="E998" i="7"/>
  <c r="E413" i="7"/>
  <c r="D400" i="7"/>
  <c r="E742" i="7"/>
  <c r="E1180" i="7"/>
  <c r="E1211" i="7"/>
  <c r="E136" i="7"/>
  <c r="D274" i="7"/>
  <c r="D718" i="7"/>
  <c r="E83" i="7"/>
  <c r="E80" i="7"/>
  <c r="D531" i="7"/>
  <c r="D263" i="7"/>
  <c r="D124" i="7"/>
  <c r="D541" i="7"/>
  <c r="D348" i="7"/>
  <c r="D85" i="7"/>
  <c r="D719" i="7"/>
  <c r="D404" i="7"/>
  <c r="D83" i="7"/>
  <c r="D138" i="7"/>
  <c r="D484" i="7"/>
  <c r="D881" i="7"/>
  <c r="D805" i="7"/>
  <c r="D422" i="7"/>
  <c r="D1101" i="7"/>
  <c r="D720" i="7"/>
  <c r="E180" i="7"/>
  <c r="E349" i="7"/>
  <c r="E272" i="7"/>
  <c r="E102" i="7"/>
  <c r="E167" i="7"/>
  <c r="D398" i="7"/>
  <c r="D88" i="7"/>
  <c r="D39" i="7"/>
  <c r="D399" i="7"/>
  <c r="D302" i="7"/>
  <c r="D73" i="7"/>
  <c r="D42" i="7"/>
  <c r="D483" i="7"/>
  <c r="D112" i="7"/>
  <c r="D76" i="7"/>
  <c r="D333" i="7"/>
  <c r="D432" i="7"/>
  <c r="D1030" i="7"/>
  <c r="D770" i="7"/>
  <c r="D1195" i="7"/>
  <c r="D660" i="7"/>
  <c r="E307" i="7"/>
  <c r="E73" i="7"/>
  <c r="E209" i="7"/>
  <c r="E291" i="7"/>
  <c r="E41" i="7"/>
  <c r="D501" i="7"/>
  <c r="D300" i="7"/>
  <c r="D37" i="7"/>
  <c r="D468" i="7"/>
  <c r="D425" i="7"/>
  <c r="D352" i="7"/>
  <c r="D45" i="7"/>
  <c r="D308" i="7"/>
  <c r="D362" i="7"/>
  <c r="D219" i="7"/>
  <c r="D430" i="7"/>
  <c r="D462" i="7"/>
  <c r="D796" i="7"/>
  <c r="D963" i="7"/>
  <c r="D870" i="7"/>
  <c r="D1171" i="7"/>
  <c r="D648" i="7"/>
  <c r="D898" i="7"/>
  <c r="D769" i="7"/>
  <c r="D835" i="7"/>
  <c r="D1038" i="7"/>
  <c r="D774" i="7"/>
  <c r="D1036" i="7"/>
  <c r="D1227" i="7"/>
  <c r="D1209" i="7"/>
  <c r="D1239" i="7"/>
  <c r="D573" i="7"/>
  <c r="D833" i="7"/>
  <c r="D1014" i="7"/>
  <c r="D1110" i="7"/>
  <c r="D419" i="7"/>
  <c r="D788" i="7"/>
  <c r="D1204" i="7"/>
  <c r="D800" i="7"/>
  <c r="D862" i="7"/>
  <c r="D1055" i="7"/>
  <c r="D730" i="7"/>
  <c r="D556" i="7"/>
  <c r="D470" i="7"/>
  <c r="D358" i="7"/>
  <c r="D804" i="7"/>
  <c r="D877" i="7"/>
  <c r="D927" i="7"/>
  <c r="D1003" i="7"/>
  <c r="D973" i="7"/>
  <c r="D713" i="7"/>
  <c r="D907" i="7"/>
  <c r="D1104" i="7"/>
  <c r="D1058" i="7"/>
  <c r="D502" i="7"/>
  <c r="D664" i="7"/>
  <c r="D939" i="7"/>
  <c r="D1127" i="7"/>
  <c r="D986" i="7"/>
  <c r="D1118" i="7"/>
  <c r="D1022" i="7"/>
  <c r="D1236" i="7"/>
  <c r="D1181" i="7"/>
  <c r="H37" i="7"/>
  <c r="E1233" i="7"/>
  <c r="E1050" i="7"/>
  <c r="E1035" i="7"/>
  <c r="D170" i="7"/>
  <c r="D351" i="7"/>
  <c r="D240" i="7"/>
  <c r="D126" i="7"/>
  <c r="D776" i="7"/>
  <c r="E169" i="7"/>
  <c r="D601" i="7"/>
  <c r="D299" i="7"/>
  <c r="D303" i="7"/>
  <c r="D568" i="7"/>
  <c r="E1036" i="7"/>
  <c r="E313" i="7"/>
  <c r="D188" i="7"/>
  <c r="D377" i="7"/>
  <c r="D389" i="7"/>
  <c r="D778" i="7"/>
  <c r="D566" i="7"/>
  <c r="D1166" i="7"/>
  <c r="D478" i="7"/>
  <c r="D540" i="7"/>
  <c r="D465" i="7"/>
  <c r="D673" i="7"/>
  <c r="D678" i="7"/>
  <c r="D1229" i="7"/>
  <c r="D680" i="7"/>
  <c r="D839" i="7"/>
  <c r="D294" i="7"/>
  <c r="D920" i="7"/>
  <c r="D447" i="7"/>
  <c r="D599" i="7"/>
  <c r="D1142" i="7"/>
  <c r="D639" i="7"/>
  <c r="D820" i="7"/>
  <c r="D1009" i="7"/>
  <c r="D1042" i="7"/>
  <c r="D782" i="7"/>
  <c r="D629" i="7"/>
  <c r="D873" i="7"/>
  <c r="D1246" i="7"/>
  <c r="D1130" i="7"/>
  <c r="D950" i="7"/>
  <c r="D1188" i="7"/>
  <c r="D463" i="7"/>
  <c r="D886" i="7"/>
  <c r="D1169" i="7"/>
  <c r="D183" i="7"/>
  <c r="D1031" i="7"/>
  <c r="E53" i="7"/>
  <c r="D1208" i="7"/>
  <c r="D315" i="7"/>
  <c r="D86" i="7"/>
  <c r="D1018" i="7"/>
  <c r="D704" i="7"/>
  <c r="D977" i="7"/>
  <c r="D1234" i="7"/>
  <c r="D368" i="7"/>
  <c r="D1180" i="7"/>
  <c r="D953" i="7"/>
  <c r="D1213" i="7"/>
  <c r="D539" i="7"/>
  <c r="D132" i="7"/>
  <c r="D1098" i="7"/>
  <c r="D201" i="7"/>
  <c r="D63" i="7"/>
  <c r="E988" i="7"/>
  <c r="D699" i="7"/>
  <c r="D252" i="7"/>
  <c r="E824" i="7"/>
  <c r="D412" i="7"/>
  <c r="E1212" i="7"/>
  <c r="E1225" i="7"/>
  <c r="E111" i="7"/>
  <c r="D139" i="7"/>
  <c r="D49" i="7"/>
  <c r="D434" i="7"/>
  <c r="D868" i="7"/>
  <c r="E235" i="7"/>
  <c r="D321" i="7"/>
  <c r="D67" i="7"/>
  <c r="D261" i="7"/>
  <c r="D670" i="7"/>
  <c r="E329" i="7"/>
  <c r="E172" i="7"/>
  <c r="D471" i="7"/>
  <c r="D236" i="7"/>
  <c r="D817" i="7"/>
  <c r="D1121" i="7"/>
  <c r="D644" i="7"/>
  <c r="D1135" i="7"/>
  <c r="D285" i="7"/>
  <c r="D861" i="7"/>
  <c r="D928" i="7"/>
  <c r="D598" i="7"/>
  <c r="D856" i="7"/>
  <c r="D275" i="7"/>
  <c r="D266" i="7"/>
  <c r="D642" i="7"/>
  <c r="D747" i="7"/>
  <c r="D1163" i="7"/>
  <c r="D741" i="7"/>
  <c r="D851" i="7"/>
  <c r="D1087" i="7"/>
  <c r="D572" i="7"/>
  <c r="D893" i="7"/>
  <c r="D890" i="7"/>
  <c r="D290" i="7"/>
  <c r="D1046" i="7"/>
  <c r="D554" i="7"/>
  <c r="D724" i="7"/>
  <c r="D866" i="7"/>
  <c r="D1097" i="7"/>
  <c r="D686" i="7"/>
  <c r="D1237" i="7"/>
  <c r="D757" i="7"/>
  <c r="D1150" i="7"/>
  <c r="D585" i="7"/>
  <c r="D842" i="7"/>
  <c r="D1233" i="7"/>
  <c r="D707" i="7"/>
  <c r="D1207" i="7"/>
  <c r="D297" i="7"/>
  <c r="D77" i="7"/>
  <c r="D1221" i="7"/>
  <c r="E193" i="7"/>
  <c r="D1112" i="7"/>
  <c r="D461" i="7"/>
  <c r="D182" i="7"/>
  <c r="D1050" i="7"/>
  <c r="D1033" i="7"/>
  <c r="H38" i="7"/>
  <c r="E864" i="7"/>
  <c r="D506" i="7"/>
  <c r="D222" i="7"/>
  <c r="E1173" i="7"/>
  <c r="D151" i="7"/>
  <c r="D633" i="7"/>
  <c r="E60" i="7"/>
  <c r="D205" i="7"/>
  <c r="D1205" i="7"/>
  <c r="D902" i="7"/>
  <c r="D1023" i="7"/>
  <c r="D1136" i="7"/>
  <c r="D1172" i="7"/>
  <c r="D1115" i="7"/>
  <c r="D710" i="7"/>
  <c r="D744" i="7"/>
  <c r="D517" i="7"/>
  <c r="D1019" i="7"/>
  <c r="D408" i="7"/>
  <c r="D625" i="7"/>
  <c r="D1082" i="7"/>
  <c r="D623" i="7"/>
  <c r="D1252" i="7"/>
  <c r="D1120" i="7"/>
  <c r="D1177" i="7"/>
  <c r="D268" i="7"/>
  <c r="D1146" i="7"/>
  <c r="D1217" i="7"/>
  <c r="E56" i="7"/>
  <c r="D369" i="7"/>
  <c r="E1220" i="7"/>
  <c r="E1151" i="7"/>
  <c r="E37" i="7"/>
  <c r="E168" i="7"/>
  <c r="E124" i="7"/>
  <c r="D84" i="7"/>
  <c r="D361" i="7"/>
  <c r="D341" i="7"/>
  <c r="D716" i="7"/>
  <c r="E196" i="7"/>
  <c r="D296" i="7"/>
  <c r="D70" i="7"/>
  <c r="D310" i="7"/>
  <c r="D545" i="7"/>
  <c r="E427" i="7"/>
  <c r="D595" i="7"/>
  <c r="D254" i="7"/>
  <c r="D270" i="7"/>
  <c r="D685" i="7"/>
  <c r="D1222" i="7"/>
  <c r="D637" i="7"/>
  <c r="D906" i="7"/>
  <c r="D821" i="7"/>
  <c r="D826" i="7"/>
  <c r="D787" i="7"/>
  <c r="D683" i="7"/>
  <c r="D1131" i="7"/>
  <c r="D677" i="7"/>
  <c r="D651" i="7"/>
  <c r="D1200" i="7"/>
  <c r="D974" i="7"/>
  <c r="D945" i="7"/>
  <c r="D876" i="7"/>
  <c r="D1243" i="7"/>
  <c r="D794" i="7"/>
  <c r="D486" i="7"/>
  <c r="D632" i="7"/>
  <c r="D1129" i="7"/>
  <c r="D843" i="7"/>
  <c r="D1235" i="7"/>
  <c r="D476" i="7"/>
  <c r="D797" i="7"/>
  <c r="D871" i="7"/>
  <c r="D380" i="7"/>
  <c r="D872" i="7"/>
  <c r="D458" i="7"/>
  <c r="D606" i="7"/>
  <c r="D1103" i="7"/>
  <c r="D1143" i="7"/>
  <c r="D993" i="7"/>
  <c r="D1242" i="7"/>
  <c r="E64" i="7"/>
  <c r="D911" i="7"/>
  <c r="D123" i="7"/>
  <c r="D529" i="7"/>
  <c r="D1049" i="7"/>
  <c r="D1145" i="7"/>
  <c r="D1015" i="7"/>
  <c r="D443" i="7"/>
  <c r="D36" i="7"/>
  <c r="D643" i="7"/>
  <c r="E98" i="7"/>
  <c r="D1138" i="7"/>
  <c r="D918" i="7"/>
  <c r="D203" i="7"/>
  <c r="D619" i="7"/>
  <c r="D923" i="7"/>
  <c r="E62" i="7"/>
  <c r="D381" i="7"/>
  <c r="D511" i="7"/>
  <c r="D260" i="7"/>
  <c r="D202" i="7"/>
  <c r="D1072" i="7"/>
  <c r="D564" i="7"/>
  <c r="D120" i="7"/>
  <c r="D942" i="7"/>
  <c r="D844" i="7"/>
  <c r="D705" i="7"/>
  <c r="D983" i="7"/>
  <c r="D989" i="7"/>
  <c r="D433" i="7"/>
  <c r="E135" i="7"/>
  <c r="D1225" i="7"/>
  <c r="D992" i="7"/>
  <c r="D1139" i="7"/>
  <c r="D391" i="7"/>
  <c r="D329" i="7"/>
  <c r="D896" i="7"/>
  <c r="D505" i="7"/>
  <c r="D823" i="7"/>
  <c r="D1194" i="7"/>
  <c r="D1125" i="7"/>
  <c r="D1008" i="7"/>
  <c r="D141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N33" authorId="0" shapeId="0" xr:uid="{19F1C619-70CC-4B3A-87F7-0D97A21EB98F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L35" authorId="0" shapeId="0" xr:uid="{F5D2A46E-5042-4356-B4DF-DA55D004CBB2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H-B Rmodel</t>
        </r>
      </text>
    </comment>
    <comment ref="L44" authorId="0" shapeId="0" xr:uid="{35DC99D1-B1AB-4129-9F4C-7C6A8DF505CA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R44" authorId="0" shapeId="0" xr:uid="{989D0B06-2BCC-49A1-AED3-FDDF0D44B5CE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T44" authorId="0" shapeId="0" xr:uid="{3B7AA35C-3894-4D6E-82CC-6D5352B39DF4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H1.pdf</t>
        </r>
      </text>
    </comment>
    <comment ref="L47" authorId="0" shapeId="0" xr:uid="{1DAA26A5-45B1-4431-9330-1883BD379ED7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H1.pdf</t>
        </r>
      </text>
    </comment>
    <comment ref="D57" authorId="0" shapeId="0" xr:uid="{2C2E652B-1C00-402C-8CC8-E69240DD7224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https://www.caleffi.com/sites/default/files/file/aria.pdf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L7" authorId="0" shapeId="0" xr:uid="{969F1EC0-B204-4ABE-B0FD-A82E3689C99F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Cambiando questo valore si deve modificare il foglio "forze" manualmente
</t>
        </r>
      </text>
    </comment>
    <comment ref="L10" authorId="0" shapeId="0" xr:uid="{8E174735-ADD5-44FC-B756-74A151E09F2D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2" authorId="0" shapeId="0" xr:uid="{89C4433C-4240-4C1F-85C4-E4DDDD5892CB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cambiando questo dato si devono modificare alcune celle manualmente</t>
        </r>
      </text>
    </comment>
    <comment ref="K20" authorId="0" shapeId="0" xr:uid="{E0C588E8-595B-47F3-AA36-4235C7EC76A5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Hydrostatic pad design</t>
        </r>
      </text>
    </comment>
    <comment ref="Z33" authorId="0" shapeId="0" xr:uid="{DE6BE545-2F53-45A3-8473-01EBD51E5624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L34" authorId="0" shapeId="0" xr:uid="{522676AF-5B51-4915-AF75-669C682019C0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Utente:
200425 Hydrostatic Pad Design parameters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tc={21F1AE3B-42B1-4C49-BC5B-21051C0EC4D1}</author>
  </authors>
  <commentList>
    <comment ref="E32" authorId="0" shapeId="0" xr:uid="{21F1AE3B-42B1-4C49-BC5B-21051C0EC4D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è la superficie di scambio riferita alle sole spire esterne ed è quindi approssimata alla superficie del magnete</t>
      </text>
    </comment>
  </commentList>
</comments>
</file>

<file path=xl/sharedStrings.xml><?xml version="1.0" encoding="utf-8"?>
<sst xmlns="http://schemas.openxmlformats.org/spreadsheetml/2006/main" count="898" uniqueCount="514">
  <si>
    <t>DATI</t>
  </si>
  <si>
    <t>https://www.youtube.com/watch?v=mz9_5MYXDw0</t>
  </si>
  <si>
    <t>Perimetro shaft</t>
  </si>
  <si>
    <t>mm</t>
  </si>
  <si>
    <t>ω shaft</t>
  </si>
  <si>
    <t>rpm</t>
  </si>
  <si>
    <t>m/s</t>
  </si>
  <si>
    <t>minimum film thickness</t>
  </si>
  <si>
    <t>m</t>
  </si>
  <si>
    <t>T</t>
  </si>
  <si>
    <t>Temperature</t>
  </si>
  <si>
    <t>Density</t>
  </si>
  <si>
    <t>Name</t>
  </si>
  <si>
    <t>Symbol</t>
  </si>
  <si>
    <t>[]</t>
  </si>
  <si>
    <t>Diametro mandrino</t>
  </si>
  <si>
    <r>
      <t>D</t>
    </r>
    <r>
      <rPr>
        <sz val="8"/>
        <color theme="1"/>
        <rFont val="Calibri"/>
        <family val="2"/>
        <scheme val="minor"/>
      </rPr>
      <t>m</t>
    </r>
  </si>
  <si>
    <t>Lunghezza boccola</t>
  </si>
  <si>
    <r>
      <t>L</t>
    </r>
    <r>
      <rPr>
        <sz val="8"/>
        <color theme="1"/>
        <rFont val="Calibri"/>
        <family val="2"/>
        <scheme val="minor"/>
      </rPr>
      <t>b</t>
    </r>
  </si>
  <si>
    <t>n° boccole</t>
  </si>
  <si>
    <r>
      <t>ω</t>
    </r>
    <r>
      <rPr>
        <sz val="8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</t>
    </r>
  </si>
  <si>
    <t>Fluid characteristics:</t>
  </si>
  <si>
    <t>Ns/m</t>
  </si>
  <si>
    <r>
      <t>Ns/m</t>
    </r>
    <r>
      <rPr>
        <vertAlign val="superscript"/>
        <sz val="11"/>
        <color theme="1"/>
        <rFont val="Calibri"/>
        <family val="2"/>
        <scheme val="minor"/>
      </rPr>
      <t>2</t>
    </r>
  </si>
  <si>
    <t>°C</t>
  </si>
  <si>
    <t>μ</t>
  </si>
  <si>
    <t>ρ</t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</si>
  <si>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</si>
  <si>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Din Viscosity</t>
  </si>
  <si>
    <t>Lunghezza</t>
  </si>
  <si>
    <t>B</t>
  </si>
  <si>
    <t>L</t>
  </si>
  <si>
    <t>Bearing Pad (rectangular)</t>
  </si>
  <si>
    <t>Raggio interno</t>
  </si>
  <si>
    <r>
      <t>r</t>
    </r>
    <r>
      <rPr>
        <sz val="8"/>
        <color theme="1"/>
        <rFont val="Calibri"/>
        <family val="2"/>
        <scheme val="minor"/>
      </rPr>
      <t>b</t>
    </r>
  </si>
  <si>
    <t>Recess depth</t>
  </si>
  <si>
    <t>H</t>
  </si>
  <si>
    <t>Arco di circ. occupato</t>
  </si>
  <si>
    <t>°</t>
  </si>
  <si>
    <t>rad</t>
  </si>
  <si>
    <t>Larghezza</t>
  </si>
  <si>
    <t>Land widths</t>
  </si>
  <si>
    <r>
      <t>C</t>
    </r>
    <r>
      <rPr>
        <sz val="9"/>
        <color theme="1"/>
        <rFont val="Calibri"/>
        <family val="2"/>
        <scheme val="minor"/>
      </rPr>
      <t>x</t>
    </r>
  </si>
  <si>
    <r>
      <t>C</t>
    </r>
    <r>
      <rPr>
        <sz val="9"/>
        <color theme="1"/>
        <rFont val="Calibri"/>
        <family val="2"/>
        <scheme val="minor"/>
      </rPr>
      <t>y</t>
    </r>
  </si>
  <si>
    <r>
      <t>h</t>
    </r>
    <r>
      <rPr>
        <sz val="9"/>
        <color theme="1"/>
        <rFont val="Calibri"/>
        <family val="2"/>
        <scheme val="minor"/>
      </rPr>
      <t>0</t>
    </r>
  </si>
  <si>
    <t>dati provvisori</t>
  </si>
  <si>
    <t>dati da verificare</t>
  </si>
  <si>
    <t>Inflow resistance (capillary restrictor)</t>
  </si>
  <si>
    <t>Projected film thickness</t>
  </si>
  <si>
    <r>
      <t>R</t>
    </r>
    <r>
      <rPr>
        <sz val="9"/>
        <color theme="1"/>
        <rFont val="Calibri"/>
        <family val="2"/>
        <scheme val="minor"/>
      </rPr>
      <t>i</t>
    </r>
  </si>
  <si>
    <t>Electrical Analogy (Parallel Plates)</t>
  </si>
  <si>
    <t>Lenght capillary tube</t>
  </si>
  <si>
    <r>
      <t>d</t>
    </r>
    <r>
      <rPr>
        <sz val="9"/>
        <color theme="1"/>
        <rFont val="Calibri"/>
        <family val="2"/>
        <scheme val="minor"/>
      </rPr>
      <t>c</t>
    </r>
  </si>
  <si>
    <t>kg/mms</t>
  </si>
  <si>
    <r>
      <t>kg/sm</t>
    </r>
    <r>
      <rPr>
        <vertAlign val="superscript"/>
        <sz val="11"/>
        <color theme="1"/>
        <rFont val="Calibri"/>
        <family val="2"/>
        <scheme val="minor"/>
      </rPr>
      <t>4</t>
    </r>
  </si>
  <si>
    <r>
      <t>A</t>
    </r>
    <r>
      <rPr>
        <sz val="9"/>
        <color theme="1"/>
        <rFont val="Calibri"/>
        <family val="2"/>
        <scheme val="minor"/>
      </rPr>
      <t>v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</si>
  <si>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</si>
  <si>
    <t>Pressure</t>
  </si>
  <si>
    <t>Supply</t>
  </si>
  <si>
    <t>Film thickness up</t>
  </si>
  <si>
    <t>Film thickness down</t>
  </si>
  <si>
    <t>celle automatiche</t>
  </si>
  <si>
    <r>
      <t>h</t>
    </r>
    <r>
      <rPr>
        <sz val="8"/>
        <color theme="1"/>
        <rFont val="Calibri"/>
        <family val="2"/>
        <scheme val="minor"/>
      </rPr>
      <t>up</t>
    </r>
  </si>
  <si>
    <r>
      <t>h</t>
    </r>
    <r>
      <rPr>
        <sz val="8"/>
        <color theme="1"/>
        <rFont val="Calibri"/>
        <family val="2"/>
        <scheme val="minor"/>
      </rPr>
      <t>down</t>
    </r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</si>
  <si>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up</t>
    </r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</si>
  <si>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down</t>
    </r>
  </si>
  <si>
    <t xml:space="preserve">Down outflow resistance </t>
  </si>
  <si>
    <t xml:space="preserve">Up outflow resistance </t>
  </si>
  <si>
    <t>δ</t>
  </si>
  <si>
    <r>
      <t>P</t>
    </r>
    <r>
      <rPr>
        <sz val="9"/>
        <color theme="1"/>
        <rFont val="Calibri"/>
        <family val="2"/>
        <scheme val="minor"/>
      </rPr>
      <t>s</t>
    </r>
  </si>
  <si>
    <r>
      <t>P</t>
    </r>
    <r>
      <rPr>
        <sz val="9"/>
        <color theme="1"/>
        <rFont val="Calibri"/>
        <family val="2"/>
        <scheme val="minor"/>
      </rPr>
      <t>r</t>
    </r>
    <r>
      <rPr>
        <sz val="8"/>
        <color theme="1"/>
        <rFont val="Calibri"/>
        <family val="2"/>
        <scheme val="minor"/>
      </rPr>
      <t>up</t>
    </r>
  </si>
  <si>
    <r>
      <t>P</t>
    </r>
    <r>
      <rPr>
        <sz val="9"/>
        <color theme="1"/>
        <rFont val="Calibri"/>
        <family val="2"/>
        <scheme val="minor"/>
      </rPr>
      <t>r</t>
    </r>
    <r>
      <rPr>
        <sz val="8"/>
        <color theme="1"/>
        <rFont val="Calibri"/>
        <family val="2"/>
        <scheme val="minor"/>
      </rPr>
      <t>down</t>
    </r>
  </si>
  <si>
    <t>Flow</t>
  </si>
  <si>
    <t>Q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</si>
  <si>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</si>
  <si>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Pa</t>
  </si>
  <si>
    <t>bar</t>
  </si>
  <si>
    <r>
      <t>l</t>
    </r>
    <r>
      <rPr>
        <sz val="9"/>
        <color theme="1"/>
        <rFont val="Calibri"/>
        <family val="2"/>
        <scheme val="minor"/>
      </rPr>
      <t>c</t>
    </r>
  </si>
  <si>
    <t>Ambient</t>
  </si>
  <si>
    <r>
      <t>P</t>
    </r>
    <r>
      <rPr>
        <sz val="9"/>
        <color theme="1"/>
        <rFont val="Calibri"/>
        <family val="2"/>
        <scheme val="minor"/>
      </rPr>
      <t>a</t>
    </r>
  </si>
  <si>
    <r>
      <t>P</t>
    </r>
    <r>
      <rPr>
        <b/>
        <sz val="8"/>
        <color theme="1"/>
        <rFont val="Calibri"/>
        <family val="2"/>
        <scheme val="minor"/>
      </rPr>
      <t>down</t>
    </r>
    <r>
      <rPr>
        <b/>
        <sz val="11"/>
        <color theme="1"/>
        <rFont val="Calibri"/>
        <family val="2"/>
        <scheme val="minor"/>
      </rPr>
      <t>-P</t>
    </r>
    <r>
      <rPr>
        <b/>
        <sz val="8"/>
        <color theme="1"/>
        <rFont val="Calibri"/>
        <family val="2"/>
        <scheme val="minor"/>
      </rPr>
      <t>up</t>
    </r>
  </si>
  <si>
    <r>
      <rPr>
        <sz val="11"/>
        <color theme="1"/>
        <rFont val="Calibri"/>
        <family val="2"/>
      </rPr>
      <t>ΔP</t>
    </r>
    <r>
      <rPr>
        <sz val="9"/>
        <color theme="1"/>
        <rFont val="Calibri"/>
        <family val="2"/>
      </rPr>
      <t>r</t>
    </r>
  </si>
  <si>
    <t>W</t>
  </si>
  <si>
    <t>Load capacity</t>
  </si>
  <si>
    <t>N</t>
  </si>
  <si>
    <t>ξ</t>
  </si>
  <si>
    <r>
      <t>ratio h</t>
    </r>
    <r>
      <rPr>
        <b/>
        <sz val="9"/>
        <color theme="1"/>
        <rFont val="Calibri"/>
        <family val="2"/>
        <scheme val="minor"/>
      </rPr>
      <t>up</t>
    </r>
  </si>
  <si>
    <r>
      <t>h</t>
    </r>
    <r>
      <rPr>
        <sz val="8"/>
        <color theme="1"/>
        <rFont val="Calibri"/>
        <family val="2"/>
        <scheme val="minor"/>
      </rPr>
      <t>up</t>
    </r>
    <r>
      <rPr>
        <sz val="11"/>
        <color theme="1"/>
        <rFont val="Calibri"/>
        <family val="2"/>
        <scheme val="minor"/>
      </rPr>
      <t>/h</t>
    </r>
    <r>
      <rPr>
        <sz val="9"/>
        <color theme="1"/>
        <rFont val="Calibri"/>
        <family val="2"/>
        <scheme val="minor"/>
      </rPr>
      <t>0</t>
    </r>
  </si>
  <si>
    <r>
      <t>W</t>
    </r>
    <r>
      <rPr>
        <sz val="9"/>
        <color theme="1"/>
        <rFont val="Calibri"/>
        <family val="2"/>
        <scheme val="minor"/>
      </rPr>
      <t>up</t>
    </r>
    <r>
      <rPr>
        <sz val="11"/>
        <color theme="1"/>
        <rFont val="Calibri"/>
        <family val="2"/>
        <scheme val="minor"/>
      </rPr>
      <t xml:space="preserve"> </t>
    </r>
  </si>
  <si>
    <t>Stiffness</t>
  </si>
  <si>
    <r>
      <t>k</t>
    </r>
    <r>
      <rPr>
        <sz val="9"/>
        <color theme="1"/>
        <rFont val="Calibri"/>
        <family val="2"/>
        <scheme val="minor"/>
      </rPr>
      <t>d</t>
    </r>
  </si>
  <si>
    <t>Nominal (design)</t>
  </si>
  <si>
    <t>Nominal (design) load capacity</t>
  </si>
  <si>
    <t>N/mm</t>
  </si>
  <si>
    <r>
      <t>N/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</t>
    </r>
  </si>
  <si>
    <t>Diameter capillary tube</t>
  </si>
  <si>
    <t>Ri/Ro (h=h0)</t>
  </si>
  <si>
    <t>Damping</t>
  </si>
  <si>
    <t>tipical daming = 0,1-1</t>
  </si>
  <si>
    <t>Damping factor</t>
  </si>
  <si>
    <t>b</t>
  </si>
  <si>
    <t>bearing geometric factor</t>
  </si>
  <si>
    <r>
      <t>K</t>
    </r>
    <r>
      <rPr>
        <sz val="9"/>
        <color theme="1"/>
        <rFont val="Calibri"/>
        <family val="2"/>
        <scheme val="minor"/>
      </rPr>
      <t>s</t>
    </r>
  </si>
  <si>
    <t>Pumping power</t>
  </si>
  <si>
    <r>
      <t>P</t>
    </r>
    <r>
      <rPr>
        <sz val="9"/>
        <color theme="1"/>
        <rFont val="Calibri"/>
        <family val="2"/>
        <scheme val="minor"/>
      </rPr>
      <t>p</t>
    </r>
  </si>
  <si>
    <t>c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</si>
  <si>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</si>
  <si>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Raggio mandrino</t>
  </si>
  <si>
    <r>
      <t>R</t>
    </r>
    <r>
      <rPr>
        <sz val="9"/>
        <color theme="1"/>
        <rFont val="Calibri"/>
        <family val="2"/>
        <scheme val="minor"/>
      </rPr>
      <t>m</t>
    </r>
  </si>
  <si>
    <t>Main                      (x1 plate)</t>
  </si>
  <si>
    <r>
      <t>v</t>
    </r>
    <r>
      <rPr>
        <sz val="9"/>
        <color theme="1"/>
        <rFont val="Calibri"/>
        <family val="2"/>
        <scheme val="minor"/>
      </rPr>
      <t>up</t>
    </r>
  </si>
  <si>
    <r>
      <t>v</t>
    </r>
    <r>
      <rPr>
        <sz val="9"/>
        <color theme="1"/>
        <rFont val="Calibri"/>
        <family val="2"/>
        <scheme val="minor"/>
      </rPr>
      <t>down</t>
    </r>
  </si>
  <si>
    <t>Velocity up</t>
  </si>
  <si>
    <t>Velocity down</t>
  </si>
  <si>
    <t>Velocity</t>
  </si>
  <si>
    <r>
      <t>Re</t>
    </r>
    <r>
      <rPr>
        <sz val="8"/>
        <color theme="1"/>
        <rFont val="Calibri"/>
        <family val="2"/>
        <scheme val="minor"/>
      </rPr>
      <t>up</t>
    </r>
  </si>
  <si>
    <r>
      <t>Re</t>
    </r>
    <r>
      <rPr>
        <sz val="8"/>
        <color theme="1"/>
        <rFont val="Calibri"/>
        <family val="2"/>
        <scheme val="minor"/>
      </rPr>
      <t>down</t>
    </r>
  </si>
  <si>
    <r>
      <t>Qr</t>
    </r>
    <r>
      <rPr>
        <sz val="8"/>
        <color theme="1"/>
        <rFont val="Calibri"/>
        <family val="2"/>
        <scheme val="minor"/>
      </rPr>
      <t>up</t>
    </r>
  </si>
  <si>
    <t>Q restrictor up</t>
  </si>
  <si>
    <t>Q restrictor down</t>
  </si>
  <si>
    <r>
      <t>Qr</t>
    </r>
    <r>
      <rPr>
        <sz val="8"/>
        <color theme="1"/>
        <rFont val="Calibri"/>
        <family val="2"/>
        <scheme val="minor"/>
      </rPr>
      <t>down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</si>
  <si>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up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</si>
  <si>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down</t>
    </r>
  </si>
  <si>
    <r>
      <t>Q</t>
    </r>
    <r>
      <rPr>
        <sz val="10"/>
        <color theme="1"/>
        <rFont val="Calibri"/>
        <family val="2"/>
        <scheme val="minor"/>
      </rPr>
      <t>b</t>
    </r>
    <r>
      <rPr>
        <sz val="8"/>
        <color theme="1"/>
        <rFont val="Calibri"/>
        <family val="2"/>
        <scheme val="minor"/>
      </rPr>
      <t>up</t>
    </r>
  </si>
  <si>
    <r>
      <t>Q</t>
    </r>
    <r>
      <rPr>
        <sz val="10"/>
        <color theme="1"/>
        <rFont val="Calibri"/>
        <family val="2"/>
        <scheme val="minor"/>
      </rPr>
      <t>b</t>
    </r>
    <r>
      <rPr>
        <sz val="8"/>
        <color theme="1"/>
        <rFont val="Calibri"/>
        <family val="2"/>
        <scheme val="minor"/>
      </rPr>
      <t>down</t>
    </r>
  </si>
  <si>
    <t xml:space="preserve">Out </t>
  </si>
  <si>
    <t>Transition speed</t>
  </si>
  <si>
    <t>Nt</t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</si>
  <si>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1</t>
    </r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</si>
  <si>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2</t>
    </r>
  </si>
  <si>
    <t>Outflow resistance 1</t>
  </si>
  <si>
    <t>Outflow resistance 2</t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</si>
  <si>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3</t>
    </r>
  </si>
  <si>
    <t>Outflow resistance 3</t>
  </si>
  <si>
    <r>
      <t>h</t>
    </r>
    <r>
      <rPr>
        <sz val="8"/>
        <color theme="1"/>
        <rFont val="Calibri"/>
        <family val="2"/>
        <scheme val="minor"/>
      </rPr>
      <t>1</t>
    </r>
  </si>
  <si>
    <r>
      <t>h</t>
    </r>
    <r>
      <rPr>
        <sz val="8"/>
        <color theme="1"/>
        <rFont val="Calibri"/>
        <family val="2"/>
        <scheme val="minor"/>
      </rPr>
      <t>2</t>
    </r>
  </si>
  <si>
    <t>Film thickness 1</t>
  </si>
  <si>
    <t>Film thickness 2</t>
  </si>
  <si>
    <t>Film thickness 3</t>
  </si>
  <si>
    <r>
      <t>h</t>
    </r>
    <r>
      <rPr>
        <sz val="8"/>
        <color theme="1"/>
        <rFont val="Calibri"/>
        <family val="2"/>
        <scheme val="minor"/>
      </rPr>
      <t>3</t>
    </r>
  </si>
  <si>
    <r>
      <t>Q</t>
    </r>
    <r>
      <rPr>
        <sz val="10"/>
        <color theme="1"/>
        <rFont val="Calibri"/>
        <family val="2"/>
        <scheme val="minor"/>
      </rPr>
      <t>b</t>
    </r>
    <r>
      <rPr>
        <sz val="8"/>
        <color theme="1"/>
        <rFont val="Calibri"/>
        <family val="2"/>
        <scheme val="minor"/>
      </rPr>
      <t>1</t>
    </r>
  </si>
  <si>
    <r>
      <t>Q</t>
    </r>
    <r>
      <rPr>
        <sz val="10"/>
        <color theme="1"/>
        <rFont val="Calibri"/>
        <family val="2"/>
        <scheme val="minor"/>
      </rPr>
      <t>b2</t>
    </r>
  </si>
  <si>
    <r>
      <t>Q</t>
    </r>
    <r>
      <rPr>
        <sz val="10"/>
        <color theme="1"/>
        <rFont val="Calibri"/>
        <family val="2"/>
        <scheme val="minor"/>
      </rPr>
      <t>b3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</si>
  <si>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1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</si>
  <si>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2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</si>
  <si>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3</t>
    </r>
  </si>
  <si>
    <r>
      <t>P</t>
    </r>
    <r>
      <rPr>
        <sz val="9"/>
        <color theme="1"/>
        <rFont val="Calibri"/>
        <family val="2"/>
        <scheme val="minor"/>
      </rPr>
      <t>r1</t>
    </r>
  </si>
  <si>
    <r>
      <t>P</t>
    </r>
    <r>
      <rPr>
        <sz val="9"/>
        <color theme="1"/>
        <rFont val="Calibri"/>
        <family val="2"/>
        <scheme val="minor"/>
      </rPr>
      <t>r2</t>
    </r>
  </si>
  <si>
    <r>
      <t>P</t>
    </r>
    <r>
      <rPr>
        <sz val="9"/>
        <color theme="1"/>
        <rFont val="Calibri"/>
        <family val="2"/>
        <scheme val="minor"/>
      </rPr>
      <t>r3</t>
    </r>
  </si>
  <si>
    <t>e</t>
  </si>
  <si>
    <t>THICKNESS</t>
  </si>
  <si>
    <t>Vertical load</t>
  </si>
  <si>
    <t>Horizontal load</t>
  </si>
  <si>
    <t>phi3</t>
  </si>
  <si>
    <t>Total Load</t>
  </si>
  <si>
    <r>
      <t>δ/h</t>
    </r>
    <r>
      <rPr>
        <sz val="9"/>
        <color theme="1"/>
        <rFont val="Calibri"/>
        <family val="2"/>
        <scheme val="minor"/>
      </rPr>
      <t>0</t>
    </r>
  </si>
  <si>
    <t>--</t>
  </si>
  <si>
    <t xml:space="preserve">Stiffness </t>
  </si>
  <si>
    <r>
      <t>k</t>
    </r>
    <r>
      <rPr>
        <sz val="9"/>
        <color theme="1"/>
        <rFont val="Calibri"/>
        <family val="2"/>
        <scheme val="minor"/>
      </rPr>
      <t>1</t>
    </r>
  </si>
  <si>
    <t>Stiffness 1</t>
  </si>
  <si>
    <t>Stiffness 2</t>
  </si>
  <si>
    <t>Stiffness 3</t>
  </si>
  <si>
    <t>k3</t>
  </si>
  <si>
    <t>k2</t>
  </si>
  <si>
    <t>Disallineamento verticale</t>
  </si>
  <si>
    <t>Up</t>
  </si>
  <si>
    <t>Down</t>
  </si>
  <si>
    <t>Forces</t>
  </si>
  <si>
    <r>
      <t>W</t>
    </r>
    <r>
      <rPr>
        <sz val="9"/>
        <color theme="1"/>
        <rFont val="Calibri"/>
        <family val="2"/>
        <scheme val="minor"/>
      </rPr>
      <t>d</t>
    </r>
  </si>
  <si>
    <t>Vertical Load</t>
  </si>
  <si>
    <r>
      <t>k</t>
    </r>
    <r>
      <rPr>
        <sz val="9"/>
        <color theme="1"/>
        <rFont val="Calibri"/>
        <family val="2"/>
        <scheme val="minor"/>
      </rPr>
      <t>up</t>
    </r>
  </si>
  <si>
    <r>
      <t>k</t>
    </r>
    <r>
      <rPr>
        <sz val="9"/>
        <color theme="1"/>
        <rFont val="Calibri"/>
        <family val="2"/>
        <scheme val="minor"/>
      </rPr>
      <t>down</t>
    </r>
  </si>
  <si>
    <r>
      <t>W</t>
    </r>
    <r>
      <rPr>
        <sz val="9"/>
        <color theme="1"/>
        <rFont val="Calibri"/>
        <family val="2"/>
        <scheme val="minor"/>
      </rPr>
      <t>down</t>
    </r>
  </si>
  <si>
    <t>FILM THICKNESS</t>
  </si>
  <si>
    <t>β</t>
  </si>
  <si>
    <t>Sh</t>
  </si>
  <si>
    <t>rad/s</t>
  </si>
  <si>
    <t>giri/s</t>
  </si>
  <si>
    <t>Z</t>
  </si>
  <si>
    <t>γ</t>
  </si>
  <si>
    <r>
      <rPr>
        <sz val="11"/>
        <color theme="1"/>
        <rFont val="Calibri"/>
        <family val="2"/>
      </rPr>
      <t>λ</t>
    </r>
    <r>
      <rPr>
        <sz val="9.9"/>
        <color theme="1"/>
        <rFont val="Calibri"/>
        <family val="2"/>
      </rPr>
      <t>hs</t>
    </r>
  </si>
  <si>
    <r>
      <t>λ</t>
    </r>
    <r>
      <rPr>
        <sz val="9.9"/>
        <color theme="1"/>
        <rFont val="Calibri"/>
        <family val="2"/>
      </rPr>
      <t>hd</t>
    </r>
  </si>
  <si>
    <r>
      <t>C</t>
    </r>
    <r>
      <rPr>
        <sz val="10"/>
        <color theme="1"/>
        <rFont val="Calibri"/>
        <family val="2"/>
        <scheme val="minor"/>
      </rPr>
      <t>sq</t>
    </r>
  </si>
  <si>
    <r>
      <t>Ns/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</t>
    </r>
  </si>
  <si>
    <t>massa</t>
  </si>
  <si>
    <t>kg</t>
  </si>
  <si>
    <r>
      <rPr>
        <sz val="11"/>
        <color theme="1"/>
        <rFont val="Calibri"/>
        <family val="2"/>
      </rPr>
      <t>ω</t>
    </r>
    <r>
      <rPr>
        <sz val="9"/>
        <color theme="1"/>
        <rFont val="Calibri"/>
        <family val="2"/>
      </rPr>
      <t>n</t>
    </r>
  </si>
  <si>
    <t>damping ratio</t>
  </si>
  <si>
    <t>hydrostatic stiffness</t>
  </si>
  <si>
    <t>damping squeeze</t>
  </si>
  <si>
    <t>natural frequency</t>
  </si>
  <si>
    <t>Transition speed (laminar to turbulent)</t>
  </si>
  <si>
    <t>OIL ""</t>
  </si>
  <si>
    <t>hydrodinamic stiffness</t>
  </si>
  <si>
    <t>PERDITE DI CARICO</t>
  </si>
  <si>
    <r>
      <t>D</t>
    </r>
    <r>
      <rPr>
        <sz val="9"/>
        <color theme="1"/>
        <rFont val="Calibri"/>
        <family val="2"/>
        <scheme val="minor"/>
      </rPr>
      <t>eq</t>
    </r>
    <r>
      <rPr>
        <sz val="8"/>
        <color theme="1"/>
        <rFont val="Calibri"/>
        <family val="2"/>
        <scheme val="minor"/>
      </rPr>
      <t>up</t>
    </r>
  </si>
  <si>
    <r>
      <t>D</t>
    </r>
    <r>
      <rPr>
        <sz val="9"/>
        <color theme="1"/>
        <rFont val="Calibri"/>
        <family val="2"/>
        <scheme val="minor"/>
      </rPr>
      <t>eq</t>
    </r>
    <r>
      <rPr>
        <sz val="8"/>
        <color theme="1"/>
        <rFont val="Calibri"/>
        <family val="2"/>
        <scheme val="minor"/>
      </rPr>
      <t>down</t>
    </r>
  </si>
  <si>
    <t>kW</t>
  </si>
  <si>
    <t>Effective Area Formula (1)</t>
  </si>
  <si>
    <t>Effective Area Formula (2)</t>
  </si>
  <si>
    <t>Av</t>
  </si>
  <si>
    <t>Width</t>
  </si>
  <si>
    <t>Length</t>
  </si>
  <si>
    <t>Land width</t>
  </si>
  <si>
    <t>Internal pad radius</t>
  </si>
  <si>
    <t>Arc of the circle</t>
  </si>
  <si>
    <t>OIL "Mobil Velocite N°6"</t>
  </si>
  <si>
    <r>
      <rPr>
        <b/>
        <sz val="14"/>
        <color theme="1"/>
        <rFont val="Calibri"/>
        <family val="2"/>
        <scheme val="minor"/>
      </rPr>
      <t>Q</t>
    </r>
    <r>
      <rPr>
        <b/>
        <sz val="11"/>
        <color theme="1"/>
        <rFont val="Calibri"/>
        <family val="2"/>
        <scheme val="minor"/>
      </rPr>
      <t>tot</t>
    </r>
  </si>
  <si>
    <t>C [mm]</t>
  </si>
  <si>
    <t>Description</t>
  </si>
  <si>
    <t>Units</t>
  </si>
  <si>
    <t>List of Variables</t>
  </si>
  <si>
    <t>Ps</t>
  </si>
  <si>
    <t>Pr</t>
  </si>
  <si>
    <t>Supply Pressure</t>
  </si>
  <si>
    <t xml:space="preserve">Recess Pressure </t>
  </si>
  <si>
    <t>Ambient Pressure</t>
  </si>
  <si>
    <t>Horizontal Load</t>
  </si>
  <si>
    <t>Wv</t>
  </si>
  <si>
    <t>Wh</t>
  </si>
  <si>
    <t>Design load capacity</t>
  </si>
  <si>
    <r>
      <t>W</t>
    </r>
    <r>
      <rPr>
        <sz val="9"/>
        <color theme="1" tint="0.499984740745262"/>
        <rFont val="Calibri"/>
        <family val="2"/>
        <scheme val="minor"/>
      </rPr>
      <t>d</t>
    </r>
  </si>
  <si>
    <r>
      <t>W</t>
    </r>
    <r>
      <rPr>
        <sz val="9"/>
        <color theme="1" tint="0.499984740745262"/>
        <rFont val="Calibri"/>
        <family val="2"/>
        <scheme val="minor"/>
      </rPr>
      <t>1</t>
    </r>
  </si>
  <si>
    <r>
      <t>ratio h</t>
    </r>
    <r>
      <rPr>
        <b/>
        <sz val="9"/>
        <color theme="1" tint="0.499984740745262"/>
        <rFont val="Calibri"/>
        <family val="2"/>
        <scheme val="minor"/>
      </rPr>
      <t>1</t>
    </r>
  </si>
  <si>
    <r>
      <t>h</t>
    </r>
    <r>
      <rPr>
        <sz val="8"/>
        <color theme="1" tint="0.499984740745262"/>
        <rFont val="Calibri"/>
        <family val="2"/>
        <scheme val="minor"/>
      </rPr>
      <t>1</t>
    </r>
    <r>
      <rPr>
        <sz val="11"/>
        <color theme="1" tint="0.499984740745262"/>
        <rFont val="Calibri"/>
        <family val="2"/>
        <scheme val="minor"/>
      </rPr>
      <t>/h</t>
    </r>
    <r>
      <rPr>
        <sz val="9"/>
        <color theme="1" tint="0.499984740745262"/>
        <rFont val="Calibri"/>
        <family val="2"/>
        <scheme val="minor"/>
      </rPr>
      <t>0</t>
    </r>
  </si>
  <si>
    <r>
      <t>phi</t>
    </r>
    <r>
      <rPr>
        <sz val="9"/>
        <color theme="1" tint="0.499984740745262"/>
        <rFont val="Calibri"/>
        <family val="2"/>
        <scheme val="minor"/>
      </rPr>
      <t>1</t>
    </r>
  </si>
  <si>
    <r>
      <t>W</t>
    </r>
    <r>
      <rPr>
        <sz val="9"/>
        <color theme="1" tint="0.499984740745262"/>
        <rFont val="Calibri"/>
        <family val="2"/>
        <scheme val="minor"/>
      </rPr>
      <t>2</t>
    </r>
  </si>
  <si>
    <r>
      <t>ratio h</t>
    </r>
    <r>
      <rPr>
        <b/>
        <sz val="9"/>
        <color theme="1" tint="0.499984740745262"/>
        <rFont val="Calibri"/>
        <family val="2"/>
        <scheme val="minor"/>
      </rPr>
      <t>up</t>
    </r>
  </si>
  <si>
    <r>
      <t>h</t>
    </r>
    <r>
      <rPr>
        <sz val="8"/>
        <color theme="1" tint="0.499984740745262"/>
        <rFont val="Calibri"/>
        <family val="2"/>
        <scheme val="minor"/>
      </rPr>
      <t>2</t>
    </r>
    <r>
      <rPr>
        <sz val="11"/>
        <color theme="1" tint="0.499984740745262"/>
        <rFont val="Calibri"/>
        <family val="2"/>
        <scheme val="minor"/>
      </rPr>
      <t>/h</t>
    </r>
    <r>
      <rPr>
        <sz val="9"/>
        <color theme="1" tint="0.499984740745262"/>
        <rFont val="Calibri"/>
        <family val="2"/>
        <scheme val="minor"/>
      </rPr>
      <t>0</t>
    </r>
  </si>
  <si>
    <r>
      <t>phi</t>
    </r>
    <r>
      <rPr>
        <sz val="9"/>
        <color theme="1" tint="0.499984740745262"/>
        <rFont val="Calibri"/>
        <family val="2"/>
        <scheme val="minor"/>
      </rPr>
      <t>2</t>
    </r>
  </si>
  <si>
    <r>
      <t>W</t>
    </r>
    <r>
      <rPr>
        <sz val="9"/>
        <color theme="1" tint="0.499984740745262"/>
        <rFont val="Calibri"/>
        <family val="2"/>
        <scheme val="minor"/>
      </rPr>
      <t>3</t>
    </r>
  </si>
  <si>
    <r>
      <t>h</t>
    </r>
    <r>
      <rPr>
        <sz val="8"/>
        <color theme="1" tint="0.499984740745262"/>
        <rFont val="Calibri"/>
        <family val="2"/>
        <scheme val="minor"/>
      </rPr>
      <t>3</t>
    </r>
    <r>
      <rPr>
        <sz val="11"/>
        <color theme="1" tint="0.499984740745262"/>
        <rFont val="Calibri"/>
        <family val="2"/>
        <scheme val="minor"/>
      </rPr>
      <t>/h</t>
    </r>
    <r>
      <rPr>
        <sz val="9"/>
        <color theme="1" tint="0.499984740745262"/>
        <rFont val="Calibri"/>
        <family val="2"/>
        <scheme val="minor"/>
      </rPr>
      <t>0</t>
    </r>
  </si>
  <si>
    <r>
      <t>W</t>
    </r>
    <r>
      <rPr>
        <sz val="9"/>
        <color theme="1" tint="0.499984740745262"/>
        <rFont val="Calibri"/>
        <family val="2"/>
        <scheme val="minor"/>
      </rPr>
      <t>v</t>
    </r>
  </si>
  <si>
    <r>
      <t>W</t>
    </r>
    <r>
      <rPr>
        <sz val="9"/>
        <color theme="1" tint="0.499984740745262"/>
        <rFont val="Calibri"/>
        <family val="2"/>
        <scheme val="minor"/>
      </rPr>
      <t>h</t>
    </r>
  </si>
  <si>
    <t>Pr design</t>
  </si>
  <si>
    <t>Rowe</t>
  </si>
  <si>
    <t>dati di progetto</t>
  </si>
  <si>
    <t>Hydrostatic Stiffness</t>
  </si>
  <si>
    <r>
      <rPr>
        <b/>
        <sz val="12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 xml:space="preserve">   </t>
    </r>
    <r>
      <rPr>
        <b/>
        <sz val="1"/>
        <color theme="1"/>
        <rFont val="Calibri"/>
        <family val="2"/>
        <scheme val="minor"/>
      </rPr>
      <t>.</t>
    </r>
  </si>
  <si>
    <r>
      <rPr>
        <b/>
        <sz val="12"/>
        <color theme="1"/>
        <rFont val="Calibri"/>
        <family val="2"/>
        <scheme val="minor"/>
      </rPr>
      <t>y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"/>
        <color theme="1"/>
        <rFont val="Calibri"/>
        <family val="2"/>
        <scheme val="minor"/>
      </rPr>
      <t>.</t>
    </r>
  </si>
  <si>
    <t>Forces (Hydrost. Pad Design)</t>
  </si>
  <si>
    <t>Pressure ratio Pr/Ps</t>
  </si>
  <si>
    <t xml:space="preserve">Effective Area Equation </t>
  </si>
  <si>
    <t>Hz</t>
  </si>
  <si>
    <t>k</t>
  </si>
  <si>
    <t>W [N]</t>
  </si>
  <si>
    <t>k [N/um]</t>
  </si>
  <si>
    <t>h0[mm]</t>
  </si>
  <si>
    <t>Pr [bar]</t>
  </si>
  <si>
    <t>angolo associato</t>
  </si>
  <si>
    <t>angolo associato C</t>
  </si>
  <si>
    <t>C/L</t>
  </si>
  <si>
    <t>W [kN]</t>
  </si>
  <si>
    <t xml:space="preserve"> h0=0,03 mm</t>
  </si>
  <si>
    <t xml:space="preserve"> h0=0,02 mm</t>
  </si>
  <si>
    <t xml:space="preserve"> h0=0,04 mm</t>
  </si>
  <si>
    <r>
      <t>A</t>
    </r>
    <r>
      <rPr>
        <sz val="9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[mm2]</t>
    </r>
  </si>
  <si>
    <t xml:space="preserve"> h0=0,08 mm</t>
  </si>
  <si>
    <t>lc</t>
  </si>
  <si>
    <t>dc</t>
  </si>
  <si>
    <t>lc=500</t>
  </si>
  <si>
    <t>lc=300</t>
  </si>
  <si>
    <t>k_UP</t>
  </si>
  <si>
    <t>k_DOWN</t>
  </si>
  <si>
    <t>Design film thickness</t>
  </si>
  <si>
    <t>Module</t>
  </si>
  <si>
    <t>Direction</t>
  </si>
  <si>
    <r>
      <t>q</t>
    </r>
    <r>
      <rPr>
        <sz val="8"/>
        <color theme="1"/>
        <rFont val="Calibri"/>
        <family val="2"/>
        <scheme val="minor"/>
      </rPr>
      <t>r</t>
    </r>
  </si>
  <si>
    <r>
      <t>q</t>
    </r>
    <r>
      <rPr>
        <sz val="8"/>
        <color theme="1"/>
        <rFont val="Calibri"/>
        <family val="2"/>
        <scheme val="minor"/>
      </rPr>
      <t>b</t>
    </r>
  </si>
  <si>
    <t>Restrictor Flow</t>
  </si>
  <si>
    <t>Bearing Flow</t>
  </si>
  <si>
    <t>q</t>
  </si>
  <si>
    <t>Total flow</t>
  </si>
  <si>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th pad bearing flow</t>
    </r>
  </si>
  <si>
    <r>
      <t>q</t>
    </r>
    <r>
      <rPr>
        <sz val="8"/>
        <color theme="1"/>
        <rFont val="Calibri"/>
        <family val="2"/>
        <scheme val="minor"/>
      </rPr>
      <t>i</t>
    </r>
  </si>
  <si>
    <t>Inflow Resistance</t>
  </si>
  <si>
    <t>Outflow Resistance</t>
  </si>
  <si>
    <r>
      <t>R</t>
    </r>
    <r>
      <rPr>
        <sz val="8"/>
        <color theme="1"/>
        <rFont val="Calibri"/>
        <family val="2"/>
        <scheme val="minor"/>
      </rPr>
      <t>o</t>
    </r>
  </si>
  <si>
    <r>
      <t>R</t>
    </r>
    <r>
      <rPr>
        <sz val="8"/>
        <color theme="1"/>
        <rFont val="Calibri"/>
        <family val="2"/>
        <scheme val="minor"/>
      </rPr>
      <t>i</t>
    </r>
  </si>
  <si>
    <r>
      <t>l</t>
    </r>
    <r>
      <rPr>
        <sz val="9"/>
        <color rgb="FF000000"/>
        <rFont val="Calibri"/>
        <family val="2"/>
        <scheme val="minor"/>
      </rPr>
      <t>c</t>
    </r>
  </si>
  <si>
    <r>
      <t>d</t>
    </r>
    <r>
      <rPr>
        <sz val="9"/>
        <color rgb="FF000000"/>
        <rFont val="Calibri"/>
        <family val="2"/>
        <scheme val="minor"/>
      </rPr>
      <t>c</t>
    </r>
  </si>
  <si>
    <t>Capillary Tube Length</t>
  </si>
  <si>
    <t>Capillary Tube Diameter</t>
  </si>
  <si>
    <t>t</t>
  </si>
  <si>
    <t>hd</t>
  </si>
  <si>
    <r>
      <t>p*W</t>
    </r>
    <r>
      <rPr>
        <sz val="8"/>
        <color theme="1"/>
        <rFont val="Calibri"/>
        <family val="2"/>
        <scheme val="minor"/>
      </rPr>
      <t>d</t>
    </r>
  </si>
  <si>
    <t>K_eq</t>
  </si>
  <si>
    <t>30χ</t>
  </si>
  <si>
    <t>Precess design</t>
  </si>
  <si>
    <r>
      <t>r</t>
    </r>
    <r>
      <rPr>
        <sz val="8"/>
        <color theme="1"/>
        <rFont val="Calibri"/>
        <family val="2"/>
        <scheme val="minor"/>
      </rPr>
      <t>p</t>
    </r>
  </si>
  <si>
    <t>spindle up</t>
  </si>
  <si>
    <t>spindle down</t>
  </si>
  <si>
    <t>Spindle Displacement</t>
  </si>
  <si>
    <t>GRAFICI</t>
  </si>
  <si>
    <t>variando lc</t>
  </si>
  <si>
    <t>variando dc</t>
  </si>
  <si>
    <t>l=500mm; C=21,83mm</t>
  </si>
  <si>
    <t>l=300mm; C=17,46mm</t>
  </si>
  <si>
    <t>lc=100</t>
  </si>
  <si>
    <t>lc=50</t>
  </si>
  <si>
    <t>Rigidezza calcolata manualmente (asse verticale)</t>
  </si>
  <si>
    <t>spindle displacement</t>
  </si>
  <si>
    <t>Libro: "Hydrostatic Pad Design Parameters"</t>
  </si>
  <si>
    <t>Design pressure ratio</t>
  </si>
  <si>
    <r>
      <t>P</t>
    </r>
    <r>
      <rPr>
        <sz val="8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/P</t>
    </r>
    <r>
      <rPr>
        <sz val="8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Pressure Ratio (hi=h0)</t>
    </r>
  </si>
  <si>
    <r>
      <t xml:space="preserve">variando hd (dc=1 mm, </t>
    </r>
    <r>
      <rPr>
        <b/>
        <sz val="12"/>
        <color theme="1"/>
        <rFont val="Calibri"/>
        <family val="2"/>
      </rPr>
      <t>β</t>
    </r>
    <r>
      <rPr>
        <b/>
        <sz val="8.4"/>
        <color theme="1"/>
        <rFont val="Calibri"/>
        <family val="2"/>
      </rPr>
      <t>=0,65</t>
    </r>
    <r>
      <rPr>
        <b/>
        <sz val="12"/>
        <color theme="1"/>
        <rFont val="Calibri"/>
        <family val="2"/>
        <scheme val="minor"/>
      </rPr>
      <t>)</t>
    </r>
  </si>
  <si>
    <t>k1 [N/um]</t>
  </si>
  <si>
    <t>h1/h0</t>
  </si>
  <si>
    <r>
      <t>β</t>
    </r>
    <r>
      <rPr>
        <sz val="7.7"/>
        <color theme="1"/>
        <rFont val="Calibri"/>
        <family val="2"/>
      </rPr>
      <t>=0,25</t>
    </r>
  </si>
  <si>
    <r>
      <t>β</t>
    </r>
    <r>
      <rPr>
        <sz val="7.7"/>
        <color theme="1"/>
        <rFont val="Calibri"/>
        <family val="2"/>
      </rPr>
      <t>=0,65</t>
    </r>
  </si>
  <si>
    <t>k1</t>
  </si>
  <si>
    <t>F [N]</t>
  </si>
  <si>
    <t>I [A]</t>
  </si>
  <si>
    <t>TOT</t>
  </si>
  <si>
    <t>TOT vert</t>
  </si>
  <si>
    <t>Stiffness Tot_vert</t>
  </si>
  <si>
    <t>kT_vert</t>
  </si>
  <si>
    <t>Pad 1</t>
  </si>
  <si>
    <t>Horizontal</t>
  </si>
  <si>
    <t>Vertical</t>
  </si>
  <si>
    <t>Central area</t>
  </si>
  <si>
    <t>Right and Left land</t>
  </si>
  <si>
    <r>
      <t>W</t>
    </r>
    <r>
      <rPr>
        <sz val="10"/>
        <color theme="1"/>
        <rFont val="Calibri"/>
        <family val="2"/>
        <scheme val="minor"/>
      </rPr>
      <t>c_h</t>
    </r>
    <r>
      <rPr>
        <sz val="11"/>
        <color theme="1"/>
        <rFont val="Calibri"/>
        <family val="2"/>
        <scheme val="minor"/>
      </rPr>
      <t>(1)</t>
    </r>
  </si>
  <si>
    <r>
      <t>W</t>
    </r>
    <r>
      <rPr>
        <sz val="10"/>
        <color theme="1"/>
        <rFont val="Calibri"/>
        <family val="2"/>
        <scheme val="minor"/>
      </rPr>
      <t>c_v</t>
    </r>
    <r>
      <rPr>
        <sz val="11"/>
        <color theme="1"/>
        <rFont val="Calibri"/>
        <family val="2"/>
        <scheme val="minor"/>
      </rPr>
      <t>(1)</t>
    </r>
  </si>
  <si>
    <r>
      <t>W</t>
    </r>
    <r>
      <rPr>
        <sz val="10"/>
        <color theme="1"/>
        <rFont val="Calibri"/>
        <family val="2"/>
        <scheme val="minor"/>
      </rPr>
      <t>l_h</t>
    </r>
    <r>
      <rPr>
        <sz val="11"/>
        <color theme="1"/>
        <rFont val="Calibri"/>
        <family val="2"/>
        <scheme val="minor"/>
      </rPr>
      <t>(1)</t>
    </r>
  </si>
  <si>
    <r>
      <t>W</t>
    </r>
    <r>
      <rPr>
        <sz val="10"/>
        <color theme="1"/>
        <rFont val="Calibri"/>
        <family val="2"/>
        <scheme val="minor"/>
      </rPr>
      <t>l_v</t>
    </r>
    <r>
      <rPr>
        <sz val="11"/>
        <color theme="1"/>
        <rFont val="Calibri"/>
        <family val="2"/>
        <scheme val="minor"/>
      </rPr>
      <t>(1)</t>
    </r>
  </si>
  <si>
    <t>Wv(1)</t>
  </si>
  <si>
    <t>Wh(1)</t>
  </si>
  <si>
    <t>W(1)</t>
  </si>
  <si>
    <t>Pad 2</t>
  </si>
  <si>
    <t>Pad 3</t>
  </si>
  <si>
    <r>
      <t>W</t>
    </r>
    <r>
      <rPr>
        <sz val="10"/>
        <color theme="1"/>
        <rFont val="Calibri"/>
        <family val="2"/>
        <scheme val="minor"/>
      </rPr>
      <t>c_h</t>
    </r>
    <r>
      <rPr>
        <sz val="11"/>
        <color theme="1"/>
        <rFont val="Calibri"/>
        <family val="2"/>
        <scheme val="minor"/>
      </rPr>
      <t>(2)</t>
    </r>
  </si>
  <si>
    <r>
      <t>W</t>
    </r>
    <r>
      <rPr>
        <sz val="10"/>
        <color theme="1"/>
        <rFont val="Calibri"/>
        <family val="2"/>
        <scheme val="minor"/>
      </rPr>
      <t>c_v</t>
    </r>
    <r>
      <rPr>
        <sz val="11"/>
        <color theme="1"/>
        <rFont val="Calibri"/>
        <family val="2"/>
        <scheme val="minor"/>
      </rPr>
      <t>(2)</t>
    </r>
  </si>
  <si>
    <r>
      <t>W</t>
    </r>
    <r>
      <rPr>
        <sz val="10"/>
        <color theme="1"/>
        <rFont val="Calibri"/>
        <family val="2"/>
        <scheme val="minor"/>
      </rPr>
      <t>l_h</t>
    </r>
    <r>
      <rPr>
        <sz val="11"/>
        <color theme="1"/>
        <rFont val="Calibri"/>
        <family val="2"/>
        <scheme val="minor"/>
      </rPr>
      <t>(2)</t>
    </r>
  </si>
  <si>
    <r>
      <t>W</t>
    </r>
    <r>
      <rPr>
        <sz val="10"/>
        <color theme="1"/>
        <rFont val="Calibri"/>
        <family val="2"/>
        <scheme val="minor"/>
      </rPr>
      <t>l_v</t>
    </r>
    <r>
      <rPr>
        <sz val="11"/>
        <color theme="1"/>
        <rFont val="Calibri"/>
        <family val="2"/>
        <scheme val="minor"/>
      </rPr>
      <t>(2)</t>
    </r>
  </si>
  <si>
    <t>Wh(2)</t>
  </si>
  <si>
    <t>Wv(2)</t>
  </si>
  <si>
    <t>W(2)</t>
  </si>
  <si>
    <r>
      <t>W</t>
    </r>
    <r>
      <rPr>
        <sz val="10"/>
        <color theme="1"/>
        <rFont val="Calibri"/>
        <family val="2"/>
        <scheme val="minor"/>
      </rPr>
      <t>c_h</t>
    </r>
    <r>
      <rPr>
        <sz val="11"/>
        <color theme="1"/>
        <rFont val="Calibri"/>
        <family val="2"/>
        <scheme val="minor"/>
      </rPr>
      <t>(3)</t>
    </r>
  </si>
  <si>
    <r>
      <t>W</t>
    </r>
    <r>
      <rPr>
        <sz val="10"/>
        <color theme="1"/>
        <rFont val="Calibri"/>
        <family val="2"/>
        <scheme val="minor"/>
      </rPr>
      <t>c_v</t>
    </r>
    <r>
      <rPr>
        <sz val="11"/>
        <color theme="1"/>
        <rFont val="Calibri"/>
        <family val="2"/>
        <scheme val="minor"/>
      </rPr>
      <t>(3)</t>
    </r>
  </si>
  <si>
    <r>
      <t>W</t>
    </r>
    <r>
      <rPr>
        <sz val="10"/>
        <color theme="1"/>
        <rFont val="Calibri"/>
        <family val="2"/>
        <scheme val="minor"/>
      </rPr>
      <t>l_h</t>
    </r>
    <r>
      <rPr>
        <sz val="11"/>
        <color theme="1"/>
        <rFont val="Calibri"/>
        <family val="2"/>
        <scheme val="minor"/>
      </rPr>
      <t>(3)</t>
    </r>
  </si>
  <si>
    <r>
      <t>W</t>
    </r>
    <r>
      <rPr>
        <sz val="10"/>
        <color theme="1"/>
        <rFont val="Calibri"/>
        <family val="2"/>
        <scheme val="minor"/>
      </rPr>
      <t>l_v</t>
    </r>
    <r>
      <rPr>
        <sz val="11"/>
        <color theme="1"/>
        <rFont val="Calibri"/>
        <family val="2"/>
        <scheme val="minor"/>
      </rPr>
      <t>(3)</t>
    </r>
  </si>
  <si>
    <t>Wh(3)</t>
  </si>
  <si>
    <t>Wv(3)</t>
  </si>
  <si>
    <t>W(3)</t>
  </si>
  <si>
    <t>Load Capacity (integal)</t>
  </si>
  <si>
    <t>k_eq</t>
  </si>
  <si>
    <r>
      <t>h</t>
    </r>
    <r>
      <rPr>
        <sz val="9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[mm]</t>
    </r>
  </si>
  <si>
    <r>
      <rPr>
        <b/>
        <sz val="12"/>
        <color theme="1"/>
        <rFont val="Calibri"/>
        <family val="2"/>
        <scheme val="minor"/>
      </rPr>
      <t>variando C</t>
    </r>
    <r>
      <rPr>
        <sz val="12"/>
        <color theme="1"/>
        <rFont val="Calibri"/>
        <family val="2"/>
        <scheme val="minor"/>
      </rPr>
      <t xml:space="preserve"> (l=500mm; dc=1mm; Ps=50bar)</t>
    </r>
  </si>
  <si>
    <t>k pad [N/um]</t>
  </si>
  <si>
    <r>
      <t>dc=1 mm; Ps=50 bar; h</t>
    </r>
    <r>
      <rPr>
        <sz val="9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=0,03 mm; C=17,46 mm</t>
    </r>
  </si>
  <si>
    <t>k pad</t>
  </si>
  <si>
    <r>
      <t>h</t>
    </r>
    <r>
      <rPr>
        <sz val="9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/h</t>
    </r>
    <r>
      <rPr>
        <sz val="9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[mm]</t>
    </r>
  </si>
  <si>
    <t>PHASE AND AMPLITUDE</t>
  </si>
  <si>
    <t>A</t>
  </si>
  <si>
    <t>ω</t>
  </si>
  <si>
    <r>
      <t>ω/ω</t>
    </r>
    <r>
      <rPr>
        <sz val="8"/>
        <color theme="1"/>
        <rFont val="Calibri"/>
        <family val="2"/>
      </rPr>
      <t>n</t>
    </r>
  </si>
  <si>
    <t>C</t>
  </si>
  <si>
    <t>D</t>
  </si>
  <si>
    <t>X/Y</t>
  </si>
  <si>
    <r>
      <t>λ</t>
    </r>
    <r>
      <rPr>
        <sz val="9.9"/>
        <color theme="1"/>
        <rFont val="Calibri"/>
        <family val="2"/>
      </rPr>
      <t>hsY/W</t>
    </r>
  </si>
  <si>
    <t>AMPLITUDE</t>
  </si>
  <si>
    <t>PHASE</t>
  </si>
  <si>
    <r>
      <rPr>
        <sz val="11"/>
        <color theme="1"/>
        <rFont val="Calibri"/>
        <family val="2"/>
      </rPr>
      <t>φ</t>
    </r>
    <r>
      <rPr>
        <sz val="7.7"/>
        <color theme="1"/>
        <rFont val="Calibri"/>
        <family val="2"/>
      </rPr>
      <t>1</t>
    </r>
  </si>
  <si>
    <r>
      <t>λ</t>
    </r>
    <r>
      <rPr>
        <sz val="9.9"/>
        <color theme="1"/>
        <rFont val="Calibri"/>
        <family val="2"/>
      </rPr>
      <t>hsX/W</t>
    </r>
  </si>
  <si>
    <t>Spindle Displacement Module</t>
  </si>
  <si>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</t>
    </r>
  </si>
  <si>
    <t xml:space="preserve">Vertical direction </t>
  </si>
  <si>
    <t>Equation (21)</t>
  </si>
  <si>
    <t>Equation (17)</t>
  </si>
  <si>
    <r>
      <rPr>
        <sz val="11"/>
        <color theme="1"/>
        <rFont val="Calibri"/>
        <family val="2"/>
      </rPr>
      <t>φ</t>
    </r>
    <r>
      <rPr>
        <sz val="7.7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</si>
  <si>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Calibri"/>
        <family val="2"/>
      </rPr>
      <t>φ</t>
    </r>
    <r>
      <rPr>
        <sz val="7.7"/>
        <color theme="1"/>
        <rFont val="Calibri"/>
        <family val="2"/>
      </rPr>
      <t>3</t>
    </r>
    <r>
      <rPr>
        <sz val="11"/>
        <color theme="1"/>
        <rFont val="Calibri"/>
        <family val="2"/>
        <scheme val="minor"/>
      </rPr>
      <t/>
    </r>
  </si>
  <si>
    <t>Spindle diameter</t>
  </si>
  <si>
    <t>Cy</t>
  </si>
  <si>
    <r>
      <t>C</t>
    </r>
    <r>
      <rPr>
        <sz val="10"/>
        <color theme="1"/>
        <rFont val="Calibri"/>
        <family val="2"/>
        <scheme val="minor"/>
      </rPr>
      <t>x</t>
    </r>
  </si>
  <si>
    <r>
      <t>h</t>
    </r>
    <r>
      <rPr>
        <sz val="9"/>
        <color theme="1"/>
        <rFont val="Calibri"/>
        <family val="2"/>
        <scheme val="minor"/>
      </rPr>
      <t>d</t>
    </r>
  </si>
  <si>
    <t>μm</t>
  </si>
  <si>
    <t>Spindle radius</t>
  </si>
  <si>
    <t>Bearing pad lenght</t>
  </si>
  <si>
    <t>Bearing pad width</t>
  </si>
  <si>
    <t>Pad land width</t>
  </si>
  <si>
    <t>Effective pad area</t>
  </si>
  <si>
    <t>Wc_i(h)</t>
  </si>
  <si>
    <t>Wc_i(v)</t>
  </si>
  <si>
    <t>Wl_i(h)</t>
  </si>
  <si>
    <t>Wl_i(v)</t>
  </si>
  <si>
    <t>Lateral lands vertical load capacity</t>
  </si>
  <si>
    <t>Lateral lands horizontal load cpacity</t>
  </si>
  <si>
    <t>Central pad area vertical load capacity</t>
  </si>
  <si>
    <t>Central pad area horizontal load capacity</t>
  </si>
  <si>
    <t>Wi_(v)</t>
  </si>
  <si>
    <r>
      <t>i</t>
    </r>
    <r>
      <rPr>
        <sz val="11"/>
        <color theme="1"/>
        <rFont val="Calibri"/>
        <family val="2"/>
        <scheme val="minor"/>
      </rPr>
      <t>th pad vertical load capacity</t>
    </r>
  </si>
  <si>
    <r>
      <t>i</t>
    </r>
    <r>
      <rPr>
        <sz val="11"/>
        <color theme="1"/>
        <rFont val="Calibri"/>
        <family val="2"/>
        <scheme val="minor"/>
      </rPr>
      <t>th pad horizontal load capacity</t>
    </r>
  </si>
  <si>
    <t>Wi_(h)</t>
  </si>
  <si>
    <r>
      <t>W</t>
    </r>
    <r>
      <rPr>
        <sz val="9"/>
        <color theme="1"/>
        <rFont val="Calibri"/>
        <family val="2"/>
        <scheme val="minor"/>
      </rPr>
      <t>h</t>
    </r>
  </si>
  <si>
    <t>Bearing horizontal load capacity</t>
  </si>
  <si>
    <t>Bearing vertical load capacity</t>
  </si>
  <si>
    <r>
      <t>W</t>
    </r>
    <r>
      <rPr>
        <sz val="9"/>
        <color theme="1"/>
        <rFont val="Calibri"/>
        <family val="2"/>
        <scheme val="minor"/>
      </rPr>
      <t>v</t>
    </r>
  </si>
  <si>
    <t>Bearing load capacity</t>
  </si>
  <si>
    <t>h</t>
  </si>
  <si>
    <t>Lubricant film thickness</t>
  </si>
  <si>
    <t>Bearing stiffness</t>
  </si>
  <si>
    <r>
      <t>k</t>
    </r>
    <r>
      <rPr>
        <sz val="9"/>
        <color theme="1"/>
        <rFont val="Calibri"/>
        <family val="2"/>
        <scheme val="minor"/>
      </rPr>
      <t>tot</t>
    </r>
  </si>
  <si>
    <r>
      <t>k</t>
    </r>
    <r>
      <rPr>
        <sz val="9"/>
        <color theme="1"/>
        <rFont val="Calibri"/>
        <family val="2"/>
        <scheme val="minor"/>
      </rPr>
      <t>i</t>
    </r>
  </si>
  <si>
    <r>
      <t>i</t>
    </r>
    <r>
      <rPr>
        <sz val="11"/>
        <color theme="1"/>
        <rFont val="Calibri"/>
        <family val="2"/>
        <scheme val="minor"/>
      </rPr>
      <t>th bearing pad stiffness</t>
    </r>
  </si>
  <si>
    <t>Baring pad design stiffness</t>
  </si>
  <si>
    <t>Squeeze damping</t>
  </si>
  <si>
    <t>Damping ratio</t>
  </si>
  <si>
    <t>Lubricant temperature</t>
  </si>
  <si>
    <t>cm3/s</t>
  </si>
  <si>
    <t>Spindle Angular velocity</t>
  </si>
  <si>
    <t>kg/sm4</t>
  </si>
  <si>
    <t>Bronzo</t>
  </si>
  <si>
    <t>[mm]</t>
  </si>
  <si>
    <t>Condizione limite Pr=50 bar</t>
  </si>
  <si>
    <r>
      <t>SPOSTAMENTO MAX [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m]</t>
    </r>
  </si>
  <si>
    <r>
      <t>Raggio supporto</t>
    </r>
    <r>
      <rPr>
        <b/>
        <sz val="11"/>
        <color theme="1"/>
        <rFont val="Calibri"/>
        <family val="2"/>
      </rPr>
      <t xml:space="preserve"> r</t>
    </r>
    <r>
      <rPr>
        <b/>
        <sz val="9"/>
        <color theme="1"/>
        <rFont val="Calibri"/>
        <family val="2"/>
      </rPr>
      <t>s</t>
    </r>
  </si>
  <si>
    <r>
      <t xml:space="preserve">Spessore </t>
    </r>
    <r>
      <rPr>
        <b/>
        <sz val="11"/>
        <color theme="1"/>
        <rFont val="Calibri"/>
        <family val="2"/>
        <scheme val="minor"/>
      </rPr>
      <t>s</t>
    </r>
  </si>
  <si>
    <r>
      <t xml:space="preserve">Profondità supporto </t>
    </r>
    <r>
      <rPr>
        <b/>
        <sz val="11"/>
        <color theme="1"/>
        <rFont val="Calibri"/>
        <family val="2"/>
      </rPr>
      <t>ϳ</t>
    </r>
  </si>
  <si>
    <t>Acciaio (30CrNiMo8)</t>
  </si>
  <si>
    <r>
      <t>Pattino da disegno fornito (L=78,5 mm; C=8 mm)</t>
    </r>
    <r>
      <rPr>
        <sz val="11"/>
        <color theme="1"/>
        <rFont val="Calibri"/>
        <family val="2"/>
        <scheme val="minor"/>
      </rPr>
      <t xml:space="preserve"> - Supporto in Acciaio (30CrNiMo8)</t>
    </r>
  </si>
  <si>
    <t>CONTROLLARE UNITà DI MISURA</t>
  </si>
  <si>
    <t>Air gap</t>
  </si>
  <si>
    <t>perm. magn. Aria</t>
  </si>
  <si>
    <t>nr. spire</t>
  </si>
  <si>
    <t>corrente</t>
  </si>
  <si>
    <t>forza di attrazione</t>
  </si>
  <si>
    <t>induzione magnetica</t>
  </si>
  <si>
    <t>area core magnetico</t>
  </si>
  <si>
    <t>F</t>
  </si>
  <si>
    <t>S [m2]</t>
  </si>
  <si>
    <r>
      <t>μ</t>
    </r>
    <r>
      <rPr>
        <sz val="8"/>
        <color theme="1"/>
        <rFont val="Calibri"/>
        <family val="2"/>
      </rPr>
      <t>0</t>
    </r>
    <r>
      <rPr>
        <sz val="11"/>
        <color theme="1"/>
        <rFont val="Calibri"/>
        <family val="2"/>
      </rPr>
      <t xml:space="preserve"> [H/m]</t>
    </r>
  </si>
  <si>
    <t>B [T]</t>
  </si>
  <si>
    <t>e [m]</t>
  </si>
  <si>
    <t>U</t>
  </si>
  <si>
    <t>traferro</t>
  </si>
  <si>
    <t>barra</t>
  </si>
  <si>
    <t>R</t>
  </si>
  <si>
    <t>tot</t>
  </si>
  <si>
    <t>l [m]</t>
  </si>
  <si>
    <t>ф</t>
  </si>
  <si>
    <t>F (2A)</t>
  </si>
  <si>
    <t>Imax [A]</t>
  </si>
  <si>
    <t>R [ohm]</t>
  </si>
  <si>
    <t>ρ [ohm*m]</t>
  </si>
  <si>
    <t>P [W]</t>
  </si>
  <si>
    <t>V [V]</t>
  </si>
  <si>
    <t>Coeff. Scambio termico aria</t>
  </si>
  <si>
    <t>λ=k [W/m2K]</t>
  </si>
  <si>
    <t>A [m2]</t>
  </si>
  <si>
    <t>Sup. di scambio</t>
  </si>
  <si>
    <t>r [m]</t>
  </si>
  <si>
    <t>raggio cavo</t>
  </si>
  <si>
    <t xml:space="preserve">densità </t>
  </si>
  <si>
    <t>rho [kg/m3]</t>
  </si>
  <si>
    <t>[kg]</t>
  </si>
  <si>
    <t>cal specifico</t>
  </si>
  <si>
    <t>c [J/kg/K]</t>
  </si>
  <si>
    <t>Tamb</t>
  </si>
  <si>
    <t>tempo [s]</t>
  </si>
  <si>
    <t>Text [°C]</t>
  </si>
  <si>
    <t>T0 [°C]</t>
  </si>
  <si>
    <t>Conf Verti (2)</t>
  </si>
  <si>
    <t>Conf orizz (1)</t>
  </si>
  <si>
    <t>l cavo [m]</t>
  </si>
  <si>
    <t>[min]</t>
  </si>
  <si>
    <t>S1</t>
  </si>
  <si>
    <t>S2</t>
  </si>
  <si>
    <t>deltaT [°C]</t>
  </si>
  <si>
    <t>parametri cavo elettrico</t>
  </si>
  <si>
    <t>lunghezza</t>
  </si>
  <si>
    <t>altezza</t>
  </si>
  <si>
    <t>profondità</t>
  </si>
  <si>
    <t>dimensioni x avvolgimento</t>
  </si>
  <si>
    <t>S0</t>
  </si>
  <si>
    <t>Piastra d'appoggio</t>
  </si>
  <si>
    <t>Cassa grande</t>
  </si>
  <si>
    <t>Cassa piccola</t>
  </si>
  <si>
    <t>Magnet laoder</t>
  </si>
  <si>
    <t>Lastre</t>
  </si>
  <si>
    <t>Bacchette spessoramento</t>
  </si>
  <si>
    <t>Lastra di distribuzioe carico</t>
  </si>
  <si>
    <t>Sostegno magnet loader</t>
  </si>
  <si>
    <t>Bronzina piccola</t>
  </si>
  <si>
    <t>Bronzina grande</t>
  </si>
  <si>
    <t>Puntoni</t>
  </si>
  <si>
    <t>Materiale</t>
  </si>
  <si>
    <t>790x520x40</t>
  </si>
  <si>
    <t>310x250x190</t>
  </si>
  <si>
    <t>103x120x70</t>
  </si>
  <si>
    <t>Sottile</t>
  </si>
  <si>
    <t>Media</t>
  </si>
  <si>
    <t>Spessa</t>
  </si>
  <si>
    <t>4x210x105</t>
  </si>
  <si>
    <t>10x210x105</t>
  </si>
  <si>
    <t>16x210x105</t>
  </si>
  <si>
    <t>90x30x6</t>
  </si>
  <si>
    <t>100x60x1</t>
  </si>
  <si>
    <t>210x170x130</t>
  </si>
  <si>
    <t>Ri=28,03 - Re=47,2 - L=78,5</t>
  </si>
  <si>
    <t>Ri=35,03 - Re=54,85 - L=106</t>
  </si>
  <si>
    <t>D=30 - L=45</t>
  </si>
  <si>
    <t>Quantità</t>
  </si>
  <si>
    <t>Nome</t>
  </si>
  <si>
    <t>Dettagli</t>
  </si>
  <si>
    <t>Ghisa (E = 170 Gpa)</t>
  </si>
  <si>
    <t>Tot. pezzi</t>
  </si>
  <si>
    <t>Volumi [mm3]</t>
  </si>
  <si>
    <t>260x240x150</t>
  </si>
  <si>
    <t>Volumi [m3]</t>
  </si>
  <si>
    <t>C40</t>
  </si>
  <si>
    <t>Densità [kg/m3]</t>
  </si>
  <si>
    <t>Peso iniziale[kg]</t>
  </si>
  <si>
    <t>Dimensioni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</si>
</sst>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E+00"/>
    <numFmt numFmtId="166" formatCode="0.0"/>
    <numFmt numFmtId="167" formatCode="0.000000"/>
    <numFmt numFmtId="168" formatCode="0.0000"/>
    <numFmt numFmtId="169" formatCode="0.00000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.9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b/>
      <sz val="9"/>
      <color theme="1" tint="0.499984740745262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sz val="12"/>
      <color theme="1" tint="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7.7"/>
      <color theme="1"/>
      <name val="Calibri"/>
      <family val="2"/>
    </font>
    <font>
      <b/>
      <sz val="12"/>
      <color theme="1"/>
      <name val="Calibri"/>
      <family val="2"/>
    </font>
    <font>
      <b/>
      <sz val="8.4"/>
      <color theme="1"/>
      <name val="Calibri"/>
      <family val="2"/>
    </font>
    <font>
      <sz val="8"/>
      <color theme="1"/>
      <name val="Calibri"/>
      <family val="2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/>
      <top/>
      <bottom style="slantDashDot">
        <color indexed="64"/>
      </bottom>
      <diagonal/>
    </border>
    <border>
      <left style="slantDashDot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/>
      <top style="slantDashDot">
        <color indexed="64"/>
      </top>
      <bottom style="thin">
        <color indexed="64"/>
      </bottom>
      <diagonal/>
    </border>
    <border>
      <left/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/>
      <right style="slantDashDot">
        <color indexed="64"/>
      </right>
      <top style="thin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 style="thin">
        <color indexed="64"/>
      </bottom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slantDashDot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76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/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/>
    <xf numFmtId="2" fontId="0" fillId="0" borderId="0" xfId="0" applyNumberFormat="1"/>
    <xf numFmtId="165" fontId="0" fillId="0" borderId="0" xfId="0" applyNumberFormat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0" borderId="5" xfId="0" applyBorder="1"/>
    <xf numFmtId="0" fontId="0" fillId="0" borderId="17" xfId="0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4" borderId="0" xfId="0" applyFill="1"/>
    <xf numFmtId="0" fontId="13" fillId="0" borderId="0" xfId="1"/>
    <xf numFmtId="0" fontId="1" fillId="0" borderId="0" xfId="0" applyFont="1" applyBorder="1" applyAlignment="1">
      <alignment horizontal="left" vertical="center"/>
    </xf>
    <xf numFmtId="0" fontId="14" fillId="2" borderId="0" xfId="0" applyFont="1" applyFill="1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7" xfId="0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1" fontId="0" fillId="0" borderId="9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4" fontId="0" fillId="2" borderId="0" xfId="0" applyNumberFormat="1" applyFill="1" applyBorder="1" applyAlignment="1">
      <alignment horizontal="center" vertical="center"/>
    </xf>
    <xf numFmtId="0" fontId="1" fillId="13" borderId="7" xfId="0" applyFont="1" applyFill="1" applyBorder="1" applyAlignment="1">
      <alignment horizontal="center" vertical="center"/>
    </xf>
    <xf numFmtId="0" fontId="0" fillId="10" borderId="9" xfId="0" applyFont="1" applyFill="1" applyBorder="1" applyAlignment="1">
      <alignment horizontal="center" vertical="center"/>
    </xf>
    <xf numFmtId="2" fontId="0" fillId="10" borderId="9" xfId="0" applyNumberFormat="1" applyFont="1" applyFill="1" applyBorder="1" applyAlignment="1">
      <alignment horizontal="center" vertical="center"/>
    </xf>
    <xf numFmtId="0" fontId="0" fillId="10" borderId="17" xfId="0" applyFont="1" applyFill="1" applyBorder="1" applyAlignment="1">
      <alignment vertical="center"/>
    </xf>
    <xf numFmtId="2" fontId="0" fillId="9" borderId="0" xfId="0" applyNumberForma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164" fontId="0" fillId="5" borderId="7" xfId="0" applyNumberForma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164" fontId="0" fillId="10" borderId="7" xfId="0" applyNumberFormat="1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20" xfId="0" applyFont="1" applyFill="1" applyBorder="1" applyAlignment="1">
      <alignment vertical="center"/>
    </xf>
    <xf numFmtId="0" fontId="1" fillId="13" borderId="15" xfId="0" applyFont="1" applyFill="1" applyBorder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vertical="center"/>
    </xf>
    <xf numFmtId="1" fontId="0" fillId="5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12" borderId="9" xfId="0" applyFont="1" applyFill="1" applyBorder="1"/>
    <xf numFmtId="0" fontId="0" fillId="12" borderId="9" xfId="0" applyFill="1" applyBorder="1" applyAlignment="1">
      <alignment horizontal="center" vertical="center"/>
    </xf>
    <xf numFmtId="2" fontId="0" fillId="12" borderId="9" xfId="0" applyNumberFormat="1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/>
    </xf>
    <xf numFmtId="0" fontId="0" fillId="12" borderId="15" xfId="0" applyFill="1" applyBorder="1" applyAlignment="1">
      <alignment horizontal="center" vertical="center"/>
    </xf>
    <xf numFmtId="0" fontId="0" fillId="12" borderId="20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2" fontId="0" fillId="12" borderId="7" xfId="0" applyNumberFormat="1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2" fontId="0" fillId="12" borderId="17" xfId="0" applyNumberFormat="1" applyFill="1" applyBorder="1"/>
    <xf numFmtId="2" fontId="0" fillId="12" borderId="8" xfId="0" applyNumberFormat="1" applyFill="1" applyBorder="1"/>
    <xf numFmtId="0" fontId="1" fillId="13" borderId="7" xfId="0" quotePrefix="1" applyFont="1" applyFill="1" applyBorder="1" applyAlignment="1">
      <alignment horizontal="center" vertical="center"/>
    </xf>
    <xf numFmtId="2" fontId="0" fillId="12" borderId="15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center" vertical="center"/>
    </xf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/>
    <xf numFmtId="0" fontId="0" fillId="0" borderId="8" xfId="0" applyBorder="1"/>
    <xf numFmtId="0" fontId="0" fillId="10" borderId="2" xfId="0" applyFill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/>
    <xf numFmtId="164" fontId="0" fillId="9" borderId="0" xfId="0" applyNumberFormat="1" applyFill="1" applyBorder="1" applyAlignment="1">
      <alignment horizontal="center" vertical="center"/>
    </xf>
    <xf numFmtId="2" fontId="0" fillId="9" borderId="7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" fillId="17" borderId="0" xfId="0" applyFont="1" applyFill="1"/>
    <xf numFmtId="165" fontId="0" fillId="17" borderId="0" xfId="0" applyNumberFormat="1" applyFill="1" applyAlignment="1">
      <alignment horizontal="center" vertical="center"/>
    </xf>
    <xf numFmtId="2" fontId="0" fillId="17" borderId="0" xfId="0" applyNumberFormat="1" applyFill="1" applyAlignment="1">
      <alignment horizontal="center" vertical="center"/>
    </xf>
    <xf numFmtId="0" fontId="0" fillId="17" borderId="0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0" fillId="0" borderId="22" xfId="0" applyBorder="1" applyAlignment="1">
      <alignment horizontal="center"/>
    </xf>
    <xf numFmtId="0" fontId="1" fillId="0" borderId="22" xfId="0" applyFont="1" applyBorder="1"/>
    <xf numFmtId="0" fontId="0" fillId="2" borderId="22" xfId="0" applyFill="1" applyBorder="1" applyAlignment="1">
      <alignment horizontal="center" vertical="center"/>
    </xf>
    <xf numFmtId="0" fontId="0" fillId="0" borderId="0" xfId="0" applyBorder="1" applyAlignment="1"/>
    <xf numFmtId="0" fontId="3" fillId="0" borderId="22" xfId="0" applyFont="1" applyBorder="1" applyAlignment="1">
      <alignment horizontal="center" vertical="center"/>
    </xf>
    <xf numFmtId="0" fontId="0" fillId="0" borderId="0" xfId="0"/>
    <xf numFmtId="0" fontId="0" fillId="0" borderId="0" xfId="0" applyNumberFormat="1"/>
    <xf numFmtId="166" fontId="0" fillId="0" borderId="0" xfId="0" applyNumberFormat="1"/>
    <xf numFmtId="0" fontId="0" fillId="0" borderId="11" xfId="0" applyBorder="1"/>
    <xf numFmtId="0" fontId="0" fillId="11" borderId="0" xfId="0" applyFill="1"/>
    <xf numFmtId="0" fontId="0" fillId="0" borderId="0" xfId="0"/>
    <xf numFmtId="0" fontId="1" fillId="0" borderId="22" xfId="0" applyFont="1" applyBorder="1" applyAlignment="1">
      <alignment horizontal="center" vertical="center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0" xfId="0" applyBorder="1"/>
    <xf numFmtId="1" fontId="0" fillId="0" borderId="17" xfId="0" applyNumberFormat="1" applyBorder="1" applyAlignment="1">
      <alignment horizontal="center" vertical="center"/>
    </xf>
    <xf numFmtId="0" fontId="1" fillId="15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1" fontId="0" fillId="0" borderId="0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15" borderId="9" xfId="0" applyFont="1" applyFill="1" applyBorder="1"/>
    <xf numFmtId="2" fontId="20" fillId="15" borderId="9" xfId="0" applyNumberFormat="1" applyFont="1" applyFill="1" applyBorder="1" applyAlignment="1">
      <alignment horizontal="center" vertical="center"/>
    </xf>
    <xf numFmtId="0" fontId="20" fillId="15" borderId="17" xfId="0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Border="1"/>
    <xf numFmtId="0" fontId="20" fillId="0" borderId="0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15" borderId="9" xfId="0" applyFont="1" applyFill="1" applyBorder="1" applyAlignment="1">
      <alignment horizontal="center"/>
    </xf>
    <xf numFmtId="2" fontId="20" fillId="15" borderId="9" xfId="0" applyNumberFormat="1" applyFont="1" applyFill="1" applyBorder="1" applyAlignment="1">
      <alignment horizontal="center"/>
    </xf>
    <xf numFmtId="0" fontId="20" fillId="0" borderId="7" xfId="0" applyFont="1" applyBorder="1"/>
    <xf numFmtId="0" fontId="20" fillId="0" borderId="8" xfId="0" applyFont="1" applyBorder="1" applyAlignment="1">
      <alignment horizontal="center" vertical="center"/>
    </xf>
    <xf numFmtId="0" fontId="20" fillId="15" borderId="17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19" fillId="0" borderId="16" xfId="0" applyFont="1" applyBorder="1" applyAlignment="1">
      <alignment horizontal="left"/>
    </xf>
    <xf numFmtId="0" fontId="19" fillId="0" borderId="9" xfId="0" applyFont="1" applyBorder="1" applyAlignment="1">
      <alignment horizontal="left"/>
    </xf>
    <xf numFmtId="0" fontId="20" fillId="0" borderId="9" xfId="0" applyFont="1" applyFill="1" applyBorder="1" applyAlignment="1">
      <alignment horizontal="center" vertical="center"/>
    </xf>
    <xf numFmtId="2" fontId="20" fillId="0" borderId="9" xfId="0" applyNumberFormat="1" applyFont="1" applyBorder="1"/>
    <xf numFmtId="0" fontId="20" fillId="0" borderId="17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2" fontId="20" fillId="0" borderId="0" xfId="0" applyNumberFormat="1" applyFont="1" applyBorder="1"/>
    <xf numFmtId="0" fontId="25" fillId="15" borderId="6" xfId="0" applyFont="1" applyFill="1" applyBorder="1"/>
    <xf numFmtId="0" fontId="26" fillId="15" borderId="7" xfId="0" applyFont="1" applyFill="1" applyBorder="1"/>
    <xf numFmtId="0" fontId="26" fillId="15" borderId="7" xfId="0" applyFont="1" applyFill="1" applyBorder="1" applyAlignment="1">
      <alignment horizontal="center" vertical="center"/>
    </xf>
    <xf numFmtId="2" fontId="26" fillId="15" borderId="7" xfId="0" applyNumberFormat="1" applyFont="1" applyFill="1" applyBorder="1"/>
    <xf numFmtId="0" fontId="26" fillId="15" borderId="8" xfId="0" applyFont="1" applyFill="1" applyBorder="1" applyAlignment="1">
      <alignment horizontal="center" vertical="center"/>
    </xf>
    <xf numFmtId="0" fontId="14" fillId="10" borderId="22" xfId="0" applyFont="1" applyFill="1" applyBorder="1" applyAlignment="1">
      <alignment horizontal="center"/>
    </xf>
    <xf numFmtId="0" fontId="0" fillId="10" borderId="22" xfId="0" applyFill="1" applyBorder="1" applyAlignment="1">
      <alignment horizontal="center" vertical="center"/>
    </xf>
    <xf numFmtId="2" fontId="0" fillId="10" borderId="0" xfId="0" applyNumberFormat="1" applyFill="1" applyBorder="1" applyAlignment="1">
      <alignment horizontal="center" vertical="center"/>
    </xf>
    <xf numFmtId="0" fontId="0" fillId="0" borderId="0" xfId="0"/>
    <xf numFmtId="0" fontId="3" fillId="9" borderId="7" xfId="0" applyFont="1" applyFill="1" applyBorder="1" applyAlignment="1">
      <alignment horizontal="center" vertical="center"/>
    </xf>
    <xf numFmtId="18" fontId="0" fillId="0" borderId="0" xfId="0" applyNumberFormat="1"/>
    <xf numFmtId="0" fontId="0" fillId="16" borderId="0" xfId="0" applyFill="1" applyBorder="1" applyAlignment="1">
      <alignment horizontal="center" vertical="center"/>
    </xf>
    <xf numFmtId="0" fontId="0" fillId="0" borderId="0" xfId="0"/>
    <xf numFmtId="1" fontId="0" fillId="5" borderId="2" xfId="0" applyNumberFormat="1" applyFill="1" applyBorder="1" applyAlignment="1">
      <alignment horizontal="center"/>
    </xf>
    <xf numFmtId="0" fontId="0" fillId="5" borderId="8" xfId="0" applyFill="1" applyBorder="1" applyAlignment="1">
      <alignment horizontal="center" vertical="center"/>
    </xf>
    <xf numFmtId="1" fontId="0" fillId="11" borderId="2" xfId="0" applyNumberFormat="1" applyFill="1" applyBorder="1" applyAlignment="1">
      <alignment horizontal="center"/>
    </xf>
    <xf numFmtId="0" fontId="0" fillId="11" borderId="8" xfId="0" applyFill="1" applyBorder="1" applyAlignment="1">
      <alignment horizontal="center" vertical="center"/>
    </xf>
    <xf numFmtId="166" fontId="0" fillId="0" borderId="9" xfId="0" applyNumberFormat="1" applyBorder="1" applyAlignment="1">
      <alignment horizontal="center"/>
    </xf>
    <xf numFmtId="2" fontId="0" fillId="0" borderId="9" xfId="0" applyNumberFormat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166" fontId="0" fillId="13" borderId="0" xfId="0" applyNumberFormat="1" applyFill="1" applyBorder="1" applyAlignment="1">
      <alignment horizontal="center"/>
    </xf>
    <xf numFmtId="2" fontId="0" fillId="13" borderId="0" xfId="0" applyNumberFormat="1" applyFill="1" applyBorder="1" applyAlignment="1">
      <alignment horizontal="center" vertical="center"/>
    </xf>
    <xf numFmtId="0" fontId="0" fillId="13" borderId="0" xfId="0" applyFill="1" applyBorder="1" applyAlignment="1">
      <alignment horizontal="center" vertical="center"/>
    </xf>
    <xf numFmtId="1" fontId="0" fillId="13" borderId="2" xfId="0" applyNumberFormat="1" applyFill="1" applyBorder="1" applyAlignment="1">
      <alignment horizontal="center"/>
    </xf>
    <xf numFmtId="0" fontId="0" fillId="18" borderId="0" xfId="0" applyFill="1"/>
    <xf numFmtId="0" fontId="0" fillId="18" borderId="0" xfId="0" applyFill="1" applyBorder="1" applyAlignment="1">
      <alignment horizontal="center" vertical="center"/>
    </xf>
    <xf numFmtId="11" fontId="0" fillId="18" borderId="0" xfId="0" applyNumberFormat="1" applyFill="1"/>
    <xf numFmtId="0" fontId="0" fillId="18" borderId="0" xfId="0" applyFill="1" applyAlignment="1"/>
    <xf numFmtId="0" fontId="0" fillId="18" borderId="0" xfId="0" applyFill="1" applyBorder="1" applyAlignment="1">
      <alignment vertical="center"/>
    </xf>
    <xf numFmtId="0" fontId="0" fillId="18" borderId="0" xfId="0" applyFill="1" applyBorder="1" applyAlignment="1"/>
    <xf numFmtId="0" fontId="0" fillId="18" borderId="0" xfId="0" applyFill="1" applyBorder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/>
    <xf numFmtId="0" fontId="0" fillId="10" borderId="17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11" borderId="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13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13" borderId="2" xfId="0" applyNumberFormat="1" applyFill="1" applyBorder="1" applyAlignment="1">
      <alignment horizontal="center" vertical="center"/>
    </xf>
    <xf numFmtId="0" fontId="0" fillId="19" borderId="2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6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1" fontId="0" fillId="0" borderId="11" xfId="0" applyNumberFormat="1" applyFill="1" applyBorder="1" applyAlignment="1">
      <alignment horizontal="center" vertical="center"/>
    </xf>
    <xf numFmtId="0" fontId="0" fillId="17" borderId="14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1" fillId="17" borderId="9" xfId="0" applyFont="1" applyFill="1" applyBorder="1" applyAlignment="1">
      <alignment horizontal="center" vertical="center"/>
    </xf>
    <xf numFmtId="0" fontId="1" fillId="17" borderId="30" xfId="0" applyFont="1" applyFill="1" applyBorder="1" applyAlignment="1">
      <alignment horizontal="center" vertical="center"/>
    </xf>
    <xf numFmtId="0" fontId="0" fillId="17" borderId="31" xfId="0" applyFill="1" applyBorder="1"/>
    <xf numFmtId="0" fontId="0" fillId="17" borderId="13" xfId="0" applyFill="1" applyBorder="1" applyAlignment="1">
      <alignment horizontal="center" vertical="center"/>
    </xf>
    <xf numFmtId="2" fontId="0" fillId="17" borderId="13" xfId="0" applyNumberFormat="1" applyFill="1" applyBorder="1" applyAlignment="1">
      <alignment horizontal="center" vertical="center"/>
    </xf>
    <xf numFmtId="0" fontId="3" fillId="0" borderId="0" xfId="0" applyFont="1"/>
    <xf numFmtId="166" fontId="0" fillId="0" borderId="0" xfId="0" applyNumberFormat="1" applyAlignment="1">
      <alignment horizontal="center" vertical="center"/>
    </xf>
    <xf numFmtId="0" fontId="1" fillId="17" borderId="17" xfId="0" applyFont="1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1" fontId="0" fillId="10" borderId="0" xfId="0" applyNumberFormat="1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2" fontId="0" fillId="17" borderId="12" xfId="0" applyNumberFormat="1" applyFill="1" applyBorder="1" applyAlignment="1">
      <alignment horizontal="center" vertical="center"/>
    </xf>
    <xf numFmtId="2" fontId="0" fillId="17" borderId="29" xfId="0" applyNumberForma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1" fillId="17" borderId="31" xfId="0" applyFont="1" applyFill="1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1" fontId="0" fillId="0" borderId="12" xfId="0" applyNumberFormat="1" applyFill="1" applyBorder="1" applyAlignment="1">
      <alignment horizontal="center" vertical="center"/>
    </xf>
    <xf numFmtId="1" fontId="0" fillId="0" borderId="13" xfId="0" applyNumberFormat="1" applyFill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1" fillId="13" borderId="21" xfId="0" applyFont="1" applyFill="1" applyBorder="1" applyAlignment="1">
      <alignment horizontal="center" vertical="center"/>
    </xf>
    <xf numFmtId="0" fontId="1" fillId="13" borderId="20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11" borderId="36" xfId="0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2" fontId="0" fillId="3" borderId="38" xfId="0" applyNumberFormat="1" applyFill="1" applyBorder="1" applyAlignment="1">
      <alignment horizontal="center"/>
    </xf>
    <xf numFmtId="0" fontId="0" fillId="0" borderId="39" xfId="0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2" xfId="0" applyNumberFormat="1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0" fillId="11" borderId="17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20" borderId="2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0" fillId="20" borderId="0" xfId="0" applyFill="1" applyBorder="1" applyAlignment="1">
      <alignment horizontal="center" vertical="center"/>
    </xf>
    <xf numFmtId="0" fontId="0" fillId="10" borderId="20" xfId="0" applyFill="1" applyBorder="1" applyAlignment="1"/>
    <xf numFmtId="0" fontId="0" fillId="11" borderId="0" xfId="0" applyFill="1" applyBorder="1" applyAlignment="1">
      <alignment horizontal="center"/>
    </xf>
    <xf numFmtId="0" fontId="0" fillId="20" borderId="1" xfId="0" applyFill="1" applyBorder="1" applyAlignment="1">
      <alignment horizontal="center"/>
    </xf>
    <xf numFmtId="0" fontId="0" fillId="20" borderId="0" xfId="0" applyFill="1" applyBorder="1" applyAlignment="1">
      <alignment horizontal="center"/>
    </xf>
    <xf numFmtId="0" fontId="0" fillId="11" borderId="7" xfId="0" applyFill="1" applyBorder="1" applyAlignment="1">
      <alignment horizontal="center"/>
    </xf>
    <xf numFmtId="0" fontId="0" fillId="10" borderId="20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25" xfId="0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0" fontId="0" fillId="18" borderId="0" xfId="0" applyFill="1" applyAlignment="1">
      <alignment horizontal="center"/>
    </xf>
    <xf numFmtId="0" fontId="1" fillId="21" borderId="15" xfId="0" applyFont="1" applyFill="1" applyBorder="1" applyAlignment="1">
      <alignment horizontal="center" vertical="center"/>
    </xf>
    <xf numFmtId="0" fontId="1" fillId="21" borderId="7" xfId="0" applyFont="1" applyFill="1" applyBorder="1" applyAlignment="1">
      <alignment horizontal="center" vertical="center"/>
    </xf>
    <xf numFmtId="0" fontId="0" fillId="6" borderId="23" xfId="0" applyFill="1" applyBorder="1" applyAlignment="1"/>
    <xf numFmtId="0" fontId="0" fillId="6" borderId="24" xfId="0" applyFill="1" applyBorder="1" applyAlignment="1"/>
    <xf numFmtId="0" fontId="1" fillId="6" borderId="24" xfId="0" applyFont="1" applyFill="1" applyBorder="1" applyAlignment="1">
      <alignment horizontal="center"/>
    </xf>
    <xf numFmtId="0" fontId="1" fillId="6" borderId="40" xfId="0" applyFont="1" applyFill="1" applyBorder="1" applyAlignment="1">
      <alignment horizontal="center"/>
    </xf>
    <xf numFmtId="0" fontId="1" fillId="0" borderId="22" xfId="0" applyFont="1" applyBorder="1" applyAlignment="1">
      <alignment horizontal="left"/>
    </xf>
    <xf numFmtId="2" fontId="0" fillId="0" borderId="22" xfId="0" applyNumberFormat="1" applyBorder="1" applyAlignment="1">
      <alignment horizontal="center" vertical="center"/>
    </xf>
    <xf numFmtId="0" fontId="0" fillId="0" borderId="22" xfId="0" applyBorder="1"/>
    <xf numFmtId="0" fontId="0" fillId="0" borderId="22" xfId="0" applyFill="1" applyBorder="1" applyAlignment="1">
      <alignment horizontal="center" vertical="center"/>
    </xf>
    <xf numFmtId="2" fontId="0" fillId="0" borderId="22" xfId="0" applyNumberForma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/>
    </xf>
    <xf numFmtId="2" fontId="0" fillId="0" borderId="11" xfId="0" applyNumberFormat="1" applyFill="1" applyBorder="1" applyAlignment="1">
      <alignment horizontal="center" vertical="center"/>
    </xf>
    <xf numFmtId="0" fontId="3" fillId="0" borderId="3" xfId="0" applyFont="1" applyBorder="1" applyAlignment="1"/>
    <xf numFmtId="0" fontId="3" fillId="0" borderId="10" xfId="0" applyFont="1" applyBorder="1" applyAlignment="1"/>
    <xf numFmtId="0" fontId="3" fillId="0" borderId="4" xfId="0" applyFont="1" applyBorder="1" applyAlignment="1"/>
    <xf numFmtId="0" fontId="0" fillId="0" borderId="9" xfId="0" applyBorder="1" applyAlignment="1">
      <alignment horizontal="center" vertical="center"/>
    </xf>
    <xf numFmtId="0" fontId="0" fillId="0" borderId="0" xfId="0"/>
    <xf numFmtId="0" fontId="0" fillId="10" borderId="8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/>
    <xf numFmtId="1" fontId="0" fillId="0" borderId="0" xfId="0" applyNumberFormat="1"/>
    <xf numFmtId="0" fontId="0" fillId="14" borderId="9" xfId="0" applyFill="1" applyBorder="1" applyAlignment="1">
      <alignment horizontal="center" vertical="center"/>
    </xf>
    <xf numFmtId="0" fontId="0" fillId="14" borderId="0" xfId="0" applyFill="1" applyBorder="1" applyAlignment="1">
      <alignment horizontal="center" vertical="center"/>
    </xf>
    <xf numFmtId="0" fontId="0" fillId="14" borderId="7" xfId="0" applyFill="1" applyBorder="1" applyAlignment="1">
      <alignment horizontal="center" vertical="center"/>
    </xf>
    <xf numFmtId="1" fontId="0" fillId="14" borderId="7" xfId="0" applyNumberForma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1" fontId="0" fillId="14" borderId="7" xfId="0" applyNumberFormat="1" applyFill="1" applyBorder="1" applyAlignment="1">
      <alignment horizontal="center"/>
    </xf>
    <xf numFmtId="0" fontId="0" fillId="14" borderId="8" xfId="0" applyFill="1" applyBorder="1" applyAlignment="1">
      <alignment horizontal="center"/>
    </xf>
    <xf numFmtId="0" fontId="0" fillId="10" borderId="7" xfId="0" applyFill="1" applyBorder="1" applyAlignment="1">
      <alignment horizontal="center" vertical="center"/>
    </xf>
    <xf numFmtId="1" fontId="0" fillId="10" borderId="7" xfId="0" applyNumberFormat="1" applyFill="1" applyBorder="1" applyAlignment="1">
      <alignment horizontal="center" vertical="center"/>
    </xf>
    <xf numFmtId="1" fontId="0" fillId="10" borderId="7" xfId="0" applyNumberForma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4" borderId="21" xfId="0" applyFill="1" applyBorder="1" applyAlignment="1">
      <alignment horizontal="center" vertical="center"/>
    </xf>
    <xf numFmtId="0" fontId="0" fillId="14" borderId="15" xfId="0" applyFill="1" applyBorder="1" applyAlignment="1">
      <alignment horizontal="center" vertical="center"/>
    </xf>
    <xf numFmtId="1" fontId="0" fillId="14" borderId="15" xfId="0" applyNumberFormat="1" applyFill="1" applyBorder="1" applyAlignment="1">
      <alignment horizontal="center" vertical="center"/>
    </xf>
    <xf numFmtId="0" fontId="0" fillId="14" borderId="20" xfId="0" applyFill="1" applyBorder="1" applyAlignment="1">
      <alignment horizontal="center" vertical="center"/>
    </xf>
    <xf numFmtId="0" fontId="0" fillId="10" borderId="21" xfId="0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1" fontId="0" fillId="10" borderId="15" xfId="0" applyNumberFormat="1" applyFill="1" applyBorder="1" applyAlignment="1">
      <alignment horizontal="center" vertical="center"/>
    </xf>
    <xf numFmtId="1" fontId="0" fillId="14" borderId="9" xfId="0" applyNumberFormat="1" applyFill="1" applyBorder="1" applyAlignment="1">
      <alignment horizontal="center"/>
    </xf>
    <xf numFmtId="0" fontId="0" fillId="14" borderId="17" xfId="0" applyFill="1" applyBorder="1" applyAlignment="1">
      <alignment horizontal="center"/>
    </xf>
    <xf numFmtId="1" fontId="0" fillId="15" borderId="7" xfId="0" applyNumberFormat="1" applyFill="1" applyBorder="1" applyAlignment="1">
      <alignment horizontal="center"/>
    </xf>
    <xf numFmtId="0" fontId="0" fillId="15" borderId="8" xfId="0" applyFill="1" applyBorder="1" applyAlignment="1">
      <alignment horizontal="center"/>
    </xf>
    <xf numFmtId="11" fontId="0" fillId="0" borderId="1" xfId="0" applyNumberFormat="1" applyBorder="1" applyAlignment="1"/>
    <xf numFmtId="0" fontId="0" fillId="0" borderId="1" xfId="0" applyBorder="1" applyAlignment="1"/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" fontId="0" fillId="14" borderId="0" xfId="0" applyNumberFormat="1" applyFill="1" applyBorder="1" applyAlignment="1">
      <alignment horizontal="center" vertical="center"/>
    </xf>
    <xf numFmtId="0" fontId="0" fillId="14" borderId="2" xfId="0" applyFill="1" applyBorder="1" applyAlignment="1">
      <alignment horizontal="center" vertical="center"/>
    </xf>
    <xf numFmtId="1" fontId="0" fillId="7" borderId="15" xfId="0" applyNumberFormat="1" applyFill="1" applyBorder="1" applyAlignment="1">
      <alignment horizontal="center" vertical="center"/>
    </xf>
    <xf numFmtId="0" fontId="0" fillId="22" borderId="0" xfId="0" applyFill="1"/>
    <xf numFmtId="0" fontId="0" fillId="0" borderId="0" xfId="0"/>
    <xf numFmtId="1" fontId="0" fillId="0" borderId="7" xfId="0" applyNumberFormat="1" applyFill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2" fontId="0" fillId="0" borderId="41" xfId="0" applyNumberFormat="1" applyBorder="1" applyAlignment="1">
      <alignment horizontal="center" vertical="center"/>
    </xf>
    <xf numFmtId="1" fontId="0" fillId="0" borderId="4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" fontId="0" fillId="5" borderId="42" xfId="0" applyNumberFormat="1" applyFill="1" applyBorder="1" applyAlignment="1">
      <alignment horizontal="center" vertical="center"/>
    </xf>
    <xf numFmtId="2" fontId="0" fillId="0" borderId="43" xfId="0" applyNumberFormat="1" applyBorder="1" applyAlignment="1">
      <alignment horizontal="center" vertical="center"/>
    </xf>
    <xf numFmtId="1" fontId="0" fillId="11" borderId="42" xfId="0" applyNumberFormat="1" applyFill="1" applyBorder="1" applyAlignment="1">
      <alignment horizontal="center" vertical="center"/>
    </xf>
    <xf numFmtId="0" fontId="0" fillId="11" borderId="50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" fontId="0" fillId="11" borderId="51" xfId="0" applyNumberFormat="1" applyFill="1" applyBorder="1" applyAlignment="1">
      <alignment horizontal="center"/>
    </xf>
    <xf numFmtId="0" fontId="0" fillId="0" borderId="49" xfId="0" applyBorder="1" applyAlignment="1">
      <alignment horizontal="center" vertical="center"/>
    </xf>
    <xf numFmtId="0" fontId="0" fillId="13" borderId="49" xfId="0" applyFill="1" applyBorder="1" applyAlignment="1">
      <alignment horizontal="center" vertical="center"/>
    </xf>
    <xf numFmtId="1" fontId="0" fillId="13" borderId="51" xfId="0" applyNumberFormat="1" applyFill="1" applyBorder="1" applyAlignment="1">
      <alignment horizontal="center"/>
    </xf>
    <xf numFmtId="0" fontId="0" fillId="0" borderId="52" xfId="0" applyBorder="1" applyAlignment="1">
      <alignment horizontal="center" vertical="center"/>
    </xf>
    <xf numFmtId="1" fontId="0" fillId="11" borderId="53" xfId="0" applyNumberFormat="1" applyFill="1" applyBorder="1" applyAlignment="1">
      <alignment horizontal="center" vertical="center"/>
    </xf>
    <xf numFmtId="0" fontId="0" fillId="0" borderId="51" xfId="0" applyBorder="1"/>
    <xf numFmtId="0" fontId="0" fillId="0" borderId="41" xfId="0" applyBorder="1"/>
    <xf numFmtId="0" fontId="0" fillId="0" borderId="53" xfId="0" applyBorder="1"/>
    <xf numFmtId="0" fontId="0" fillId="0" borderId="51" xfId="0" applyFont="1" applyFill="1" applyBorder="1" applyAlignment="1">
      <alignment horizontal="center" vertical="center"/>
    </xf>
    <xf numFmtId="2" fontId="0" fillId="0" borderId="51" xfId="0" applyNumberFormat="1" applyBorder="1" applyAlignment="1">
      <alignment horizontal="center" vertical="center"/>
    </xf>
    <xf numFmtId="0" fontId="0" fillId="0" borderId="49" xfId="0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52" xfId="0" applyFill="1" applyBorder="1" applyAlignment="1">
      <alignment horizontal="center"/>
    </xf>
    <xf numFmtId="166" fontId="0" fillId="0" borderId="42" xfId="0" applyNumberFormat="1" applyFill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0" fontId="0" fillId="11" borderId="51" xfId="0" applyFill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12" borderId="49" xfId="0" applyFill="1" applyBorder="1" applyAlignment="1">
      <alignment horizontal="center" vertical="center"/>
    </xf>
    <xf numFmtId="0" fontId="0" fillId="12" borderId="51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12" borderId="52" xfId="0" applyFill="1" applyBorder="1" applyAlignment="1">
      <alignment horizontal="center" vertical="center"/>
    </xf>
    <xf numFmtId="0" fontId="0" fillId="12" borderId="43" xfId="0" applyFill="1" applyBorder="1" applyAlignment="1">
      <alignment horizontal="center" vertical="center"/>
    </xf>
    <xf numFmtId="0" fontId="0" fillId="12" borderId="57" xfId="0" applyFill="1" applyBorder="1" applyAlignment="1">
      <alignment horizontal="center" vertical="center"/>
    </xf>
    <xf numFmtId="0" fontId="0" fillId="12" borderId="42" xfId="0" applyFill="1" applyBorder="1" applyAlignment="1">
      <alignment horizontal="center" vertical="center"/>
    </xf>
    <xf numFmtId="0" fontId="0" fillId="12" borderId="53" xfId="0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/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1" fontId="0" fillId="4" borderId="17" xfId="0" applyNumberFormat="1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vertical="center"/>
    </xf>
    <xf numFmtId="1" fontId="0" fillId="4" borderId="8" xfId="0" applyNumberForma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1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5" fillId="0" borderId="0" xfId="0" applyFont="1" applyAlignment="1"/>
    <xf numFmtId="0" fontId="15" fillId="0" borderId="0" xfId="0" applyFont="1" applyBorder="1" applyAlignment="1"/>
    <xf numFmtId="0" fontId="0" fillId="0" borderId="15" xfId="0" applyBorder="1"/>
    <xf numFmtId="0" fontId="15" fillId="0" borderId="0" xfId="0" applyFont="1" applyBorder="1" applyAlignment="1">
      <alignment horizontal="center" vertical="center"/>
    </xf>
    <xf numFmtId="2" fontId="0" fillId="19" borderId="1" xfId="0" applyNumberFormat="1" applyFill="1" applyBorder="1" applyAlignment="1">
      <alignment horizontal="center" vertical="center"/>
    </xf>
    <xf numFmtId="2" fontId="0" fillId="19" borderId="0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5" borderId="0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2" fontId="0" fillId="19" borderId="2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2" fontId="0" fillId="12" borderId="0" xfId="0" applyNumberFormat="1" applyFill="1" applyBorder="1" applyAlignment="1">
      <alignment horizontal="center" vertical="center"/>
    </xf>
    <xf numFmtId="0" fontId="0" fillId="12" borderId="0" xfId="0" applyFill="1" applyBorder="1" applyAlignment="1">
      <alignment horizontal="center" vertical="center"/>
    </xf>
    <xf numFmtId="0" fontId="0" fillId="19" borderId="0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2" fontId="0" fillId="12" borderId="1" xfId="0" applyNumberFormat="1" applyFill="1" applyBorder="1" applyAlignment="1">
      <alignment horizontal="center"/>
    </xf>
    <xf numFmtId="2" fontId="0" fillId="12" borderId="0" xfId="0" applyNumberFormat="1" applyFill="1" applyBorder="1" applyAlignment="1">
      <alignment horizontal="center"/>
    </xf>
    <xf numFmtId="2" fontId="0" fillId="12" borderId="2" xfId="0" applyNumberFormat="1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3" fillId="4" borderId="15" xfId="0" applyFont="1" applyFill="1" applyBorder="1" applyAlignment="1">
      <alignment horizontal="center" vertical="center" wrapText="1"/>
    </xf>
    <xf numFmtId="0" fontId="0" fillId="19" borderId="20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2" fontId="0" fillId="5" borderId="2" xfId="0" applyNumberFormat="1" applyFill="1" applyBorder="1" applyAlignment="1">
      <alignment horizontal="center" vertical="center"/>
    </xf>
    <xf numFmtId="2" fontId="0" fillId="12" borderId="2" xfId="0" applyNumberForma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/>
    <xf numFmtId="0" fontId="1" fillId="0" borderId="1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1" fontId="0" fillId="0" borderId="16" xfId="0" applyNumberForma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169" fontId="0" fillId="0" borderId="0" xfId="0" applyNumberFormat="1" applyBorder="1" applyAlignment="1">
      <alignment horizontal="center" vertical="center"/>
    </xf>
    <xf numFmtId="168" fontId="0" fillId="0" borderId="0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17" borderId="1" xfId="0" applyNumberFormat="1" applyFill="1" applyBorder="1" applyAlignment="1">
      <alignment horizontal="center" vertical="center"/>
    </xf>
    <xf numFmtId="168" fontId="0" fillId="17" borderId="0" xfId="0" applyNumberFormat="1" applyFill="1" applyBorder="1" applyAlignment="1">
      <alignment horizontal="center" vertical="center"/>
    </xf>
    <xf numFmtId="0" fontId="0" fillId="17" borderId="0" xfId="0" applyFill="1" applyBorder="1"/>
    <xf numFmtId="0" fontId="0" fillId="17" borderId="2" xfId="0" applyFill="1" applyBorder="1" applyAlignment="1">
      <alignment horizontal="center" vertical="center"/>
    </xf>
    <xf numFmtId="166" fontId="0" fillId="17" borderId="6" xfId="0" applyNumberFormat="1" applyFill="1" applyBorder="1" applyAlignment="1">
      <alignment horizontal="center" vertical="center"/>
    </xf>
    <xf numFmtId="168" fontId="0" fillId="17" borderId="7" xfId="0" applyNumberFormat="1" applyFill="1" applyBorder="1" applyAlignment="1">
      <alignment horizontal="center" vertical="center"/>
    </xf>
    <xf numFmtId="0" fontId="0" fillId="17" borderId="7" xfId="0" applyFill="1" applyBorder="1"/>
    <xf numFmtId="0" fontId="0" fillId="17" borderId="8" xfId="0" applyFill="1" applyBorder="1" applyAlignment="1">
      <alignment horizontal="center" vertical="center"/>
    </xf>
    <xf numFmtId="0" fontId="1" fillId="13" borderId="17" xfId="0" applyFont="1" applyFill="1" applyBorder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/>
    <xf numFmtId="0" fontId="0" fillId="0" borderId="15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14" borderId="22" xfId="0" applyFill="1" applyBorder="1" applyAlignment="1">
      <alignment horizontal="center" vertical="center"/>
    </xf>
    <xf numFmtId="0" fontId="0" fillId="14" borderId="15" xfId="0" applyFill="1" applyBorder="1" applyAlignment="1">
      <alignment horizontal="left" vertical="center"/>
    </xf>
    <xf numFmtId="0" fontId="0" fillId="14" borderId="22" xfId="0" applyFill="1" applyBorder="1" applyAlignment="1">
      <alignment horizontal="left" vertical="center"/>
    </xf>
    <xf numFmtId="166" fontId="0" fillId="0" borderId="22" xfId="0" applyNumberFormat="1" applyBorder="1" applyAlignment="1">
      <alignment horizontal="center" vertical="center"/>
    </xf>
    <xf numFmtId="166" fontId="0" fillId="14" borderId="22" xfId="0" applyNumberForma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14" borderId="21" xfId="0" applyFill="1" applyBorder="1" applyAlignment="1">
      <alignment vertical="center"/>
    </xf>
    <xf numFmtId="168" fontId="0" fillId="0" borderId="21" xfId="0" applyNumberFormat="1" applyBorder="1" applyAlignment="1">
      <alignment horizontal="center" vertical="center"/>
    </xf>
    <xf numFmtId="168" fontId="0" fillId="14" borderId="21" xfId="0" applyNumberFormat="1" applyFill="1" applyBorder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8" borderId="21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0" fillId="3" borderId="1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1" fontId="0" fillId="9" borderId="9" xfId="0" applyNumberFormat="1" applyFont="1" applyFill="1" applyBorder="1" applyAlignment="1">
      <alignment horizontal="center" vertical="center"/>
    </xf>
    <xf numFmtId="11" fontId="0" fillId="9" borderId="7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0" fillId="5" borderId="0" xfId="0" applyNumberFormat="1" applyFont="1" applyFill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1" fontId="0" fillId="3" borderId="0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22" xfId="0" applyFont="1" applyBorder="1" applyAlignment="1">
      <alignment horizontal="left" vertical="center"/>
    </xf>
    <xf numFmtId="0" fontId="1" fillId="7" borderId="21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6" borderId="16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/>
    <xf numFmtId="11" fontId="0" fillId="10" borderId="16" xfId="0" applyNumberFormat="1" applyFill="1" applyBorder="1" applyAlignment="1">
      <alignment horizontal="center" vertical="center"/>
    </xf>
    <xf numFmtId="11" fontId="0" fillId="10" borderId="1" xfId="0" applyNumberFormat="1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11" fontId="0" fillId="10" borderId="6" xfId="0" applyNumberFormat="1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13" borderId="16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1" fillId="13" borderId="17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1" fillId="13" borderId="7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21" xfId="0" applyFont="1" applyFill="1" applyBorder="1" applyAlignment="1">
      <alignment horizontal="left" vertical="center"/>
    </xf>
    <xf numFmtId="0" fontId="1" fillId="13" borderId="15" xfId="0" applyFont="1" applyFill="1" applyBorder="1" applyAlignment="1">
      <alignment horizontal="left" vertical="center"/>
    </xf>
    <xf numFmtId="0" fontId="0" fillId="5" borderId="0" xfId="0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1" fillId="12" borderId="21" xfId="0" applyFont="1" applyFill="1" applyBorder="1" applyAlignment="1">
      <alignment horizontal="center" vertical="center"/>
    </xf>
    <xf numFmtId="0" fontId="1" fillId="12" borderId="1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0" fillId="11" borderId="30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1" borderId="32" xfId="0" applyFill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14" borderId="0" xfId="0" applyFill="1" applyBorder="1" applyAlignment="1">
      <alignment horizontal="left" vertical="center" indent="1"/>
    </xf>
    <xf numFmtId="0" fontId="0" fillId="14" borderId="9" xfId="0" applyFill="1" applyBorder="1" applyAlignment="1">
      <alignment horizontal="left" vertical="center" indent="1"/>
    </xf>
    <xf numFmtId="0" fontId="35" fillId="10" borderId="18" xfId="0" applyFont="1" applyFill="1" applyBorder="1" applyAlignment="1">
      <alignment horizontal="center" vertical="center"/>
    </xf>
    <xf numFmtId="0" fontId="35" fillId="10" borderId="25" xfId="0" applyFont="1" applyFill="1" applyBorder="1" applyAlignment="1">
      <alignment horizontal="center" vertical="center"/>
    </xf>
    <xf numFmtId="0" fontId="35" fillId="10" borderId="19" xfId="0" applyFont="1" applyFill="1" applyBorder="1" applyAlignment="1">
      <alignment horizontal="center" vertical="center"/>
    </xf>
    <xf numFmtId="0" fontId="0" fillId="10" borderId="17" xfId="0" applyFont="1" applyFill="1" applyBorder="1" applyAlignment="1">
      <alignment horizontal="left" vertical="center" wrapText="1" indent="1"/>
    </xf>
    <xf numFmtId="0" fontId="0" fillId="10" borderId="8" xfId="0" applyFont="1" applyFill="1" applyBorder="1" applyAlignment="1">
      <alignment horizontal="left" vertical="center" wrapText="1" indent="1"/>
    </xf>
    <xf numFmtId="0" fontId="0" fillId="10" borderId="2" xfId="0" applyFont="1" applyFill="1" applyBorder="1" applyAlignment="1">
      <alignment horizontal="left" vertical="center" wrapText="1" indent="1"/>
    </xf>
    <xf numFmtId="0" fontId="1" fillId="10" borderId="21" xfId="0" applyFont="1" applyFill="1" applyBorder="1" applyAlignment="1">
      <alignment horizontal="center" vertical="center"/>
    </xf>
    <xf numFmtId="0" fontId="1" fillId="10" borderId="15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5" fillId="8" borderId="54" xfId="0" applyFont="1" applyFill="1" applyBorder="1" applyAlignment="1">
      <alignment horizontal="center"/>
    </xf>
    <xf numFmtId="0" fontId="15" fillId="8" borderId="55" xfId="0" applyFont="1" applyFill="1" applyBorder="1" applyAlignment="1">
      <alignment horizontal="center"/>
    </xf>
    <xf numFmtId="0" fontId="15" fillId="8" borderId="56" xfId="0" applyFont="1" applyFill="1" applyBorder="1" applyAlignment="1">
      <alignment horizontal="center"/>
    </xf>
    <xf numFmtId="0" fontId="0" fillId="8" borderId="49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51" xfId="0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15" fillId="0" borderId="54" xfId="0" applyFont="1" applyBorder="1" applyAlignment="1">
      <alignment horizontal="center"/>
    </xf>
    <xf numFmtId="0" fontId="15" fillId="0" borderId="55" xfId="0" applyFont="1" applyBorder="1" applyAlignment="1">
      <alignment horizontal="center"/>
    </xf>
    <xf numFmtId="0" fontId="15" fillId="0" borderId="5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" fillId="11" borderId="21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center"/>
    </xf>
    <xf numFmtId="0" fontId="0" fillId="12" borderId="0" xfId="0" applyFill="1" applyAlignment="1">
      <alignment horizontal="center"/>
    </xf>
    <xf numFmtId="0" fontId="0" fillId="12" borderId="5" xfId="0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29" fillId="13" borderId="44" xfId="0" applyFont="1" applyFill="1" applyBorder="1" applyAlignment="1">
      <alignment horizontal="center" vertical="center"/>
    </xf>
    <xf numFmtId="0" fontId="29" fillId="13" borderId="45" xfId="0" applyFont="1" applyFill="1" applyBorder="1" applyAlignment="1">
      <alignment horizontal="center" vertical="center"/>
    </xf>
    <xf numFmtId="0" fontId="29" fillId="13" borderId="46" xfId="0" applyFont="1" applyFill="1" applyBorder="1" applyAlignment="1">
      <alignment horizontal="center" vertical="center"/>
    </xf>
    <xf numFmtId="0" fontId="0" fillId="11" borderId="16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1" fillId="6" borderId="34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/>
    </xf>
    <xf numFmtId="0" fontId="15" fillId="6" borderId="21" xfId="0" applyFont="1" applyFill="1" applyBorder="1" applyAlignment="1">
      <alignment horizontal="center" vertical="center"/>
    </xf>
    <xf numFmtId="0" fontId="15" fillId="6" borderId="15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5" fillId="14" borderId="18" xfId="0" applyFont="1" applyFill="1" applyBorder="1" applyAlignment="1">
      <alignment horizontal="center" vertical="center"/>
    </xf>
    <xf numFmtId="0" fontId="35" fillId="14" borderId="25" xfId="0" applyFont="1" applyFill="1" applyBorder="1" applyAlignment="1">
      <alignment horizontal="center" vertical="center"/>
    </xf>
    <xf numFmtId="0" fontId="35" fillId="14" borderId="19" xfId="0" applyFont="1" applyFill="1" applyBorder="1" applyAlignment="1">
      <alignment horizontal="center" vertical="center"/>
    </xf>
    <xf numFmtId="0" fontId="0" fillId="14" borderId="17" xfId="0" applyFont="1" applyFill="1" applyBorder="1" applyAlignment="1">
      <alignment horizontal="left" vertical="center" wrapText="1" indent="1"/>
    </xf>
    <xf numFmtId="0" fontId="0" fillId="14" borderId="8" xfId="0" applyFont="1" applyFill="1" applyBorder="1" applyAlignment="1">
      <alignment horizontal="left" vertical="center" wrapText="1" indent="1"/>
    </xf>
    <xf numFmtId="0" fontId="0" fillId="14" borderId="2" xfId="0" applyFont="1" applyFill="1" applyBorder="1" applyAlignment="1">
      <alignment horizontal="left" vertical="center" wrapText="1" indent="1"/>
    </xf>
    <xf numFmtId="0" fontId="1" fillId="14" borderId="21" xfId="0" applyFont="1" applyFill="1" applyBorder="1" applyAlignment="1">
      <alignment horizontal="center" vertical="center"/>
    </xf>
    <xf numFmtId="0" fontId="1" fillId="14" borderId="15" xfId="0" applyFont="1" applyFill="1" applyBorder="1" applyAlignment="1">
      <alignment horizontal="center" vertical="center"/>
    </xf>
    <xf numFmtId="0" fontId="1" fillId="14" borderId="7" xfId="0" applyFont="1" applyFill="1" applyBorder="1" applyAlignment="1">
      <alignment horizontal="center" vertical="center"/>
    </xf>
    <xf numFmtId="0" fontId="1" fillId="15" borderId="7" xfId="0" applyFont="1" applyFill="1" applyBorder="1" applyAlignment="1">
      <alignment horizontal="left" vertical="center" indent="1"/>
    </xf>
    <xf numFmtId="11" fontId="0" fillId="9" borderId="0" xfId="0" applyNumberFormat="1" applyFont="1" applyFill="1" applyBorder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11" fontId="0" fillId="9" borderId="0" xfId="0" applyNumberFormat="1" applyFill="1" applyBorder="1" applyAlignment="1">
      <alignment horizontal="center" vertical="center"/>
    </xf>
    <xf numFmtId="2" fontId="1" fillId="9" borderId="6" xfId="0" applyNumberFormat="1" applyFont="1" applyFill="1" applyBorder="1" applyAlignment="1">
      <alignment horizontal="left" vertical="center"/>
    </xf>
    <xf numFmtId="2" fontId="1" fillId="9" borderId="7" xfId="0" applyNumberFormat="1" applyFont="1" applyFill="1" applyBorder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9" fillId="0" borderId="1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4" borderId="0" xfId="0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8" borderId="16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0" fillId="18" borderId="0" xfId="0" applyFill="1" applyAlignment="1">
      <alignment horizontal="center"/>
    </xf>
    <xf numFmtId="0" fontId="1" fillId="21" borderId="0" xfId="0" applyFont="1" applyFill="1" applyAlignment="1">
      <alignment horizontal="center"/>
    </xf>
    <xf numFmtId="0" fontId="0" fillId="21" borderId="0" xfId="0" applyFill="1" applyAlignment="1">
      <alignment horizontal="center"/>
    </xf>
    <xf numFmtId="0" fontId="15" fillId="17" borderId="26" xfId="0" applyFont="1" applyFill="1" applyBorder="1" applyAlignment="1">
      <alignment horizontal="center"/>
    </xf>
    <xf numFmtId="0" fontId="15" fillId="17" borderId="27" xfId="0" applyFont="1" applyFill="1" applyBorder="1" applyAlignment="1">
      <alignment horizontal="center"/>
    </xf>
    <xf numFmtId="0" fontId="15" fillId="17" borderId="28" xfId="0" applyFont="1" applyFill="1" applyBorder="1" applyAlignment="1">
      <alignment horizontal="center"/>
    </xf>
    <xf numFmtId="0" fontId="15" fillId="8" borderId="21" xfId="0" applyFont="1" applyFill="1" applyBorder="1" applyAlignment="1">
      <alignment horizontal="center"/>
    </xf>
    <xf numFmtId="0" fontId="15" fillId="8" borderId="15" xfId="0" applyFont="1" applyFill="1" applyBorder="1" applyAlignment="1">
      <alignment horizontal="center"/>
    </xf>
    <xf numFmtId="0" fontId="15" fillId="8" borderId="20" xfId="0" applyFont="1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30" fillId="15" borderId="0" xfId="0" applyFont="1" applyFill="1" applyAlignment="1">
      <alignment horizontal="center" vertical="center"/>
    </xf>
    <xf numFmtId="0" fontId="1" fillId="13" borderId="18" xfId="0" applyFont="1" applyFill="1" applyBorder="1" applyAlignment="1">
      <alignment horizontal="center" vertical="center" wrapText="1"/>
    </xf>
    <xf numFmtId="0" fontId="1" fillId="13" borderId="25" xfId="0" applyFont="1" applyFill="1" applyBorder="1" applyAlignment="1">
      <alignment horizontal="center" vertical="center" wrapText="1"/>
    </xf>
    <xf numFmtId="0" fontId="1" fillId="13" borderId="19" xfId="0" applyFont="1" applyFill="1" applyBorder="1" applyAlignment="1">
      <alignment horizontal="center" vertical="center" wrapText="1"/>
    </xf>
    <xf numFmtId="0" fontId="1" fillId="16" borderId="0" xfId="0" applyFont="1" applyFill="1" applyAlignment="1">
      <alignment horizontal="center"/>
    </xf>
    <xf numFmtId="0" fontId="1" fillId="0" borderId="22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17" borderId="1" xfId="0" applyFill="1" applyBorder="1" applyAlignment="1">
      <alignment horizontal="center"/>
    </xf>
    <xf numFmtId="0" fontId="0" fillId="17" borderId="0" xfId="0" applyFill="1" applyBorder="1" applyAlignment="1">
      <alignment horizontal="center"/>
    </xf>
    <xf numFmtId="0" fontId="0" fillId="17" borderId="2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14" borderId="0" xfId="0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17" xfId="0" applyFont="1" applyFill="1" applyBorder="1" applyAlignment="1">
      <alignment horizontal="center"/>
    </xf>
    <xf numFmtId="0" fontId="3" fillId="14" borderId="1" xfId="0" applyFont="1" applyFill="1" applyBorder="1" applyAlignment="1">
      <alignment horizontal="center" vertical="center"/>
    </xf>
    <xf numFmtId="0" fontId="3" fillId="14" borderId="0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18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14" borderId="18" xfId="0" applyFill="1" applyBorder="1" applyAlignment="1">
      <alignment horizontal="center" vertical="center"/>
    </xf>
    <xf numFmtId="0" fontId="0" fillId="14" borderId="19" xfId="0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1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200" i="1">
                <a:solidFill>
                  <a:sysClr val="windowText" lastClr="000000"/>
                </a:solidFill>
              </a:rPr>
              <a:t>l=500mm; dc=1mm; Ps=50bar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6346328485517089"/>
          <c:y val="0.10695895814484019"/>
          <c:w val="0.73916178409503708"/>
          <c:h val="0.75943099850565576"/>
        </c:manualLayout>
      </c:layout>
      <c:lineChart>
        <c:grouping val="standard"/>
        <c:varyColors val="0"/>
        <c:ser>
          <c:idx val="0"/>
          <c:order val="0"/>
          <c:tx>
            <c:v>hd=0,04 mm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tasche'!$AK$36:$AK$45</c:f>
              <c:numCache>
                <c:formatCode>0.0</c:formatCode>
                <c:ptCount val="10"/>
                <c:pt idx="0">
                  <c:v>4.3659411238638155</c:v>
                </c:pt>
                <c:pt idx="1">
                  <c:v>8.731882247727631</c:v>
                </c:pt>
                <c:pt idx="2">
                  <c:v>13.097823371591446</c:v>
                </c:pt>
                <c:pt idx="3">
                  <c:v>17.463764495455262</c:v>
                </c:pt>
                <c:pt idx="4">
                  <c:v>21.829705619319078</c:v>
                </c:pt>
                <c:pt idx="5">
                  <c:v>26.195646743182891</c:v>
                </c:pt>
                <c:pt idx="6">
                  <c:v>30.561587867046708</c:v>
                </c:pt>
                <c:pt idx="7">
                  <c:v>34.927528990910524</c:v>
                </c:pt>
                <c:pt idx="8">
                  <c:v>39.293470114774337</c:v>
                </c:pt>
                <c:pt idx="9">
                  <c:v>43.659411238638157</c:v>
                </c:pt>
              </c:numCache>
            </c:numRef>
          </c:cat>
          <c:val>
            <c:numRef>
              <c:f>'3 tasche'!$AS$36:$AS$45</c:f>
              <c:numCache>
                <c:formatCode>0</c:formatCode>
                <c:ptCount val="10"/>
                <c:pt idx="0">
                  <c:v>213.42</c:v>
                </c:pt>
                <c:pt idx="1">
                  <c:v>357.65</c:v>
                </c:pt>
                <c:pt idx="2">
                  <c:v>447.26</c:v>
                </c:pt>
                <c:pt idx="3">
                  <c:v>494.07</c:v>
                </c:pt>
                <c:pt idx="4">
                  <c:v>507.66</c:v>
                </c:pt>
                <c:pt idx="5">
                  <c:v>495.85</c:v>
                </c:pt>
                <c:pt idx="6">
                  <c:v>465.01</c:v>
                </c:pt>
                <c:pt idx="7">
                  <c:v>420.36</c:v>
                </c:pt>
                <c:pt idx="8">
                  <c:v>366.18</c:v>
                </c:pt>
                <c:pt idx="9">
                  <c:v>305.95999999999998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F1-48BE-84FF-E7E465914C55}"/>
            </c:ext>
          </c:extLst>
        </c:ser>
        <c:ser>
          <c:idx val="1"/>
          <c:order val="1"/>
          <c:tx>
            <c:v>hd=0,03 mm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tasche'!$AK$36:$AK$45</c:f>
              <c:numCache>
                <c:formatCode>0.0</c:formatCode>
                <c:ptCount val="10"/>
                <c:pt idx="0">
                  <c:v>4.3659411238638155</c:v>
                </c:pt>
                <c:pt idx="1">
                  <c:v>8.731882247727631</c:v>
                </c:pt>
                <c:pt idx="2">
                  <c:v>13.097823371591446</c:v>
                </c:pt>
                <c:pt idx="3">
                  <c:v>17.463764495455262</c:v>
                </c:pt>
                <c:pt idx="4">
                  <c:v>21.829705619319078</c:v>
                </c:pt>
                <c:pt idx="5">
                  <c:v>26.195646743182891</c:v>
                </c:pt>
                <c:pt idx="6">
                  <c:v>30.561587867046708</c:v>
                </c:pt>
                <c:pt idx="7">
                  <c:v>34.927528990910524</c:v>
                </c:pt>
                <c:pt idx="8">
                  <c:v>39.293470114774337</c:v>
                </c:pt>
                <c:pt idx="9">
                  <c:v>43.659411238638157</c:v>
                </c:pt>
              </c:numCache>
            </c:numRef>
          </c:cat>
          <c:val>
            <c:numRef>
              <c:f>'3 tasche'!$AV$36:$AV$45</c:f>
              <c:numCache>
                <c:formatCode>0</c:formatCode>
                <c:ptCount val="10"/>
                <c:pt idx="0">
                  <c:v>522.9</c:v>
                </c:pt>
                <c:pt idx="1">
                  <c:v>709.35</c:v>
                </c:pt>
                <c:pt idx="2">
                  <c:v>741.46</c:v>
                </c:pt>
                <c:pt idx="3">
                  <c:v>701.69</c:v>
                </c:pt>
                <c:pt idx="4">
                  <c:v>629.85</c:v>
                </c:pt>
                <c:pt idx="5">
                  <c:v>545.98</c:v>
                </c:pt>
                <c:pt idx="6">
                  <c:v>460.36</c:v>
                </c:pt>
                <c:pt idx="7">
                  <c:v>378.25</c:v>
                </c:pt>
                <c:pt idx="8">
                  <c:v>302.25</c:v>
                </c:pt>
                <c:pt idx="9">
                  <c:v>233.49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F1-48BE-84FF-E7E465914C55}"/>
            </c:ext>
          </c:extLst>
        </c:ser>
        <c:ser>
          <c:idx val="2"/>
          <c:order val="2"/>
          <c:tx>
            <c:v>hd=0,02 mm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tasche'!$AK$36:$AK$45</c:f>
              <c:numCache>
                <c:formatCode>0.0</c:formatCode>
                <c:ptCount val="10"/>
                <c:pt idx="0">
                  <c:v>4.3659411238638155</c:v>
                </c:pt>
                <c:pt idx="1">
                  <c:v>8.731882247727631</c:v>
                </c:pt>
                <c:pt idx="2">
                  <c:v>13.097823371591446</c:v>
                </c:pt>
                <c:pt idx="3">
                  <c:v>17.463764495455262</c:v>
                </c:pt>
                <c:pt idx="4">
                  <c:v>21.829705619319078</c:v>
                </c:pt>
                <c:pt idx="5">
                  <c:v>26.195646743182891</c:v>
                </c:pt>
                <c:pt idx="6">
                  <c:v>30.561587867046708</c:v>
                </c:pt>
                <c:pt idx="7">
                  <c:v>34.927528990910524</c:v>
                </c:pt>
                <c:pt idx="8">
                  <c:v>39.293470114774337</c:v>
                </c:pt>
                <c:pt idx="9">
                  <c:v>43.659411238638157</c:v>
                </c:pt>
              </c:numCache>
            </c:numRef>
          </c:cat>
          <c:val>
            <c:numRef>
              <c:f>'3 tasche'!$AY$36:$AY$45</c:f>
              <c:numCache>
                <c:formatCode>0</c:formatCode>
                <c:ptCount val="10"/>
                <c:pt idx="0">
                  <c:v>1191.25</c:v>
                </c:pt>
                <c:pt idx="1">
                  <c:v>1045.3499999999999</c:v>
                </c:pt>
                <c:pt idx="2">
                  <c:v>825.34</c:v>
                </c:pt>
                <c:pt idx="3">
                  <c:v>641.03</c:v>
                </c:pt>
                <c:pt idx="4">
                  <c:v>496.57</c:v>
                </c:pt>
                <c:pt idx="5">
                  <c:v>383.93</c:v>
                </c:pt>
                <c:pt idx="6">
                  <c:v>295.42</c:v>
                </c:pt>
                <c:pt idx="7">
                  <c:v>225.21</c:v>
                </c:pt>
                <c:pt idx="8">
                  <c:v>169.06</c:v>
                </c:pt>
                <c:pt idx="9">
                  <c:v>123.86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F1-48BE-84FF-E7E465914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5094304"/>
        <c:axId val="2126405232"/>
      </c:lineChart>
      <c:catAx>
        <c:axId val="97509430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 i="0">
                    <a:solidFill>
                      <a:sysClr val="windowText" lastClr="000000"/>
                    </a:solidFill>
                  </a:rPr>
                  <a:t>C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26405232"/>
        <c:crosses val="autoZero"/>
        <c:auto val="1"/>
        <c:lblAlgn val="ctr"/>
        <c:lblOffset val="100"/>
        <c:noMultiLvlLbl val="0"/>
      </c:catAx>
      <c:valAx>
        <c:axId val="212640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Pad Stiffness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 [N/</a:t>
                </a:r>
                <a:r>
                  <a:rPr lang="el-GR" sz="1200" b="1" baseline="0">
                    <a:solidFill>
                      <a:sysClr val="windowText" lastClr="000000"/>
                    </a:solidFill>
                  </a:rPr>
                  <a:t>μ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m]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3.0985371955469746E-2"/>
              <c:y val="0.36657123757333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509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693621433088029"/>
          <c:y val="0.16528366474021977"/>
          <c:w val="0.2925271428379233"/>
          <c:h val="0.271388034321511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beta=0,65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154274610530201"/>
          <c:y val="0.1275337956273522"/>
          <c:w val="0.84344384121188309"/>
          <c:h val="0.74453891222680968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tasche'!$AN$21</c:f>
              <c:strCache>
                <c:ptCount val="1"/>
                <c:pt idx="0">
                  <c:v>k_UP</c:v>
                </c:pt>
              </c:strCache>
            </c:strRef>
          </c:tx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tasche'!$AN$22:$AN$32</c:f>
              <c:numCache>
                <c:formatCode>0</c:formatCode>
                <c:ptCount val="11"/>
                <c:pt idx="0">
                  <c:v>1144</c:v>
                </c:pt>
                <c:pt idx="1">
                  <c:v>1405</c:v>
                </c:pt>
                <c:pt idx="2">
                  <c:v>1789.3</c:v>
                </c:pt>
                <c:pt idx="3">
                  <c:v>2467.11</c:v>
                </c:pt>
                <c:pt idx="4">
                  <c:v>4354.22</c:v>
                </c:pt>
                <c:pt idx="6">
                  <c:v>3066.19</c:v>
                </c:pt>
                <c:pt idx="7">
                  <c:v>1247.0999999999999</c:v>
                </c:pt>
                <c:pt idx="8">
                  <c:v>670.7</c:v>
                </c:pt>
                <c:pt idx="9">
                  <c:v>405.26</c:v>
                </c:pt>
                <c:pt idx="10">
                  <c:v>261.99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AB-43A0-98A9-5B2E0F97388E}"/>
            </c:ext>
          </c:extLst>
        </c:ser>
        <c:ser>
          <c:idx val="1"/>
          <c:order val="1"/>
          <c:tx>
            <c:strRef>
              <c:f>'3 tasche'!$AO$21</c:f>
              <c:strCache>
                <c:ptCount val="1"/>
                <c:pt idx="0">
                  <c:v>k1</c:v>
                </c:pt>
              </c:strCache>
            </c:strRef>
          </c:tx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tasche'!$AO$22:$AO$32</c:f>
              <c:numCache>
                <c:formatCode>0</c:formatCode>
                <c:ptCount val="11"/>
                <c:pt idx="0">
                  <c:v>43.46</c:v>
                </c:pt>
                <c:pt idx="1">
                  <c:v>167.83</c:v>
                </c:pt>
                <c:pt idx="2">
                  <c:v>344.3</c:v>
                </c:pt>
                <c:pt idx="3">
                  <c:v>517.17999999999995</c:v>
                </c:pt>
                <c:pt idx="4">
                  <c:v>629.28</c:v>
                </c:pt>
                <c:pt idx="5">
                  <c:v>655.95</c:v>
                </c:pt>
                <c:pt idx="6">
                  <c:v>611.61</c:v>
                </c:pt>
                <c:pt idx="7">
                  <c:v>528.6</c:v>
                </c:pt>
                <c:pt idx="8">
                  <c:v>435.43</c:v>
                </c:pt>
                <c:pt idx="9">
                  <c:v>348.87</c:v>
                </c:pt>
                <c:pt idx="10">
                  <c:v>275.67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AB-43A0-98A9-5B2E0F973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686271"/>
        <c:axId val="608852271"/>
      </c:lineChart>
      <c:catAx>
        <c:axId val="6226862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h1/h0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8852271"/>
        <c:crosses val="autoZero"/>
        <c:auto val="1"/>
        <c:lblAlgn val="ctr"/>
        <c:lblOffset val="100"/>
        <c:noMultiLvlLbl val="0"/>
      </c:catAx>
      <c:valAx>
        <c:axId val="60885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k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2268627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7523733609628447"/>
          <c:y val="0.19820061912026771"/>
          <c:w val="0.35669216039137708"/>
          <c:h val="0.2013386465381699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k_UP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352981925972034"/>
          <c:y val="3.960929529932735E-2"/>
          <c:w val="0.73896525521260792"/>
          <c:h val="0.79187920041220983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tasche'!$AJ$20</c:f>
              <c:strCache>
                <c:ptCount val="1"/>
                <c:pt idx="0">
                  <c:v>β=0,25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tasche'!$AJ$22:$AJ$32</c:f>
              <c:numCache>
                <c:formatCode>0</c:formatCode>
                <c:ptCount val="11"/>
                <c:pt idx="0">
                  <c:v>1131.08</c:v>
                </c:pt>
                <c:pt idx="1">
                  <c:v>1292</c:v>
                </c:pt>
                <c:pt idx="2">
                  <c:v>1395</c:v>
                </c:pt>
                <c:pt idx="3">
                  <c:v>1527</c:v>
                </c:pt>
                <c:pt idx="4">
                  <c:v>2113.88</c:v>
                </c:pt>
                <c:pt idx="6">
                  <c:v>1006</c:v>
                </c:pt>
                <c:pt idx="7">
                  <c:v>357.68</c:v>
                </c:pt>
                <c:pt idx="8">
                  <c:v>173.93</c:v>
                </c:pt>
                <c:pt idx="9">
                  <c:v>97.5</c:v>
                </c:pt>
                <c:pt idx="10">
                  <c:v>59.6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61-4EB0-92DC-5E15E7CE9020}"/>
            </c:ext>
          </c:extLst>
        </c:ser>
        <c:ser>
          <c:idx val="1"/>
          <c:order val="1"/>
          <c:tx>
            <c:strRef>
              <c:f>'3 tasche'!$AN$20</c:f>
              <c:strCache>
                <c:ptCount val="1"/>
                <c:pt idx="0">
                  <c:v>β=0,65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tasche'!$AN$22:$AN$32</c:f>
              <c:numCache>
                <c:formatCode>0</c:formatCode>
                <c:ptCount val="11"/>
                <c:pt idx="0">
                  <c:v>1144</c:v>
                </c:pt>
                <c:pt idx="1">
                  <c:v>1405</c:v>
                </c:pt>
                <c:pt idx="2">
                  <c:v>1789.3</c:v>
                </c:pt>
                <c:pt idx="3">
                  <c:v>2467.11</c:v>
                </c:pt>
                <c:pt idx="4">
                  <c:v>4354.22</c:v>
                </c:pt>
                <c:pt idx="6">
                  <c:v>3066.19</c:v>
                </c:pt>
                <c:pt idx="7">
                  <c:v>1247.0999999999999</c:v>
                </c:pt>
                <c:pt idx="8">
                  <c:v>670.7</c:v>
                </c:pt>
                <c:pt idx="9">
                  <c:v>405.26</c:v>
                </c:pt>
                <c:pt idx="10">
                  <c:v>261.99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61-4EB0-92DC-5E15E7CE9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4190623"/>
        <c:axId val="704393375"/>
      </c:lineChart>
      <c:catAx>
        <c:axId val="7141906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/>
                  <a:t>h1/h0</a:t>
                </a:r>
              </a:p>
            </c:rich>
          </c:tx>
          <c:layout>
            <c:manualLayout>
              <c:xMode val="edge"/>
              <c:yMode val="edge"/>
              <c:x val="0.30928989425753095"/>
              <c:y val="0.307811995378111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4393375"/>
        <c:crosses val="autoZero"/>
        <c:auto val="1"/>
        <c:lblAlgn val="ctr"/>
        <c:lblOffset val="100"/>
        <c:noMultiLvlLbl val="0"/>
      </c:catAx>
      <c:valAx>
        <c:axId val="704393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4190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509305456665568"/>
          <c:y val="0.16917377545775117"/>
          <c:w val="0.2011954312833705"/>
          <c:h val="0.136246646901703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k1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4495888504431154"/>
          <c:y val="4.877755092984256E-2"/>
          <c:w val="0.81289085854518139"/>
          <c:h val="0.63324705266854842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tasche'!$AJ$20:$AM$20</c:f>
              <c:strCache>
                <c:ptCount val="1"/>
                <c:pt idx="0">
                  <c:v>β=0,25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tasche'!$AL$22:$AL$32</c:f>
              <c:numCache>
                <c:formatCode>0</c:formatCode>
                <c:ptCount val="11"/>
                <c:pt idx="0">
                  <c:v>229.54</c:v>
                </c:pt>
                <c:pt idx="1">
                  <c:v>766.23</c:v>
                </c:pt>
                <c:pt idx="2">
                  <c:v>1130</c:v>
                </c:pt>
                <c:pt idx="3">
                  <c:v>1070</c:v>
                </c:pt>
                <c:pt idx="4">
                  <c:v>800.92</c:v>
                </c:pt>
                <c:pt idx="5">
                  <c:v>541.28</c:v>
                </c:pt>
                <c:pt idx="6">
                  <c:v>355.54</c:v>
                </c:pt>
                <c:pt idx="7">
                  <c:v>234.81</c:v>
                </c:pt>
                <c:pt idx="8">
                  <c:v>158.11000000000001</c:v>
                </c:pt>
                <c:pt idx="9">
                  <c:v>109.05</c:v>
                </c:pt>
                <c:pt idx="10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22-4F12-AED9-FF1DD82AF967}"/>
            </c:ext>
          </c:extLst>
        </c:ser>
        <c:ser>
          <c:idx val="1"/>
          <c:order val="1"/>
          <c:tx>
            <c:strRef>
              <c:f>'3 tasche'!$AN$20:$AP$20</c:f>
              <c:strCache>
                <c:ptCount val="1"/>
                <c:pt idx="0">
                  <c:v>β=0,65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tasche'!$AO$22:$AO$32</c:f>
              <c:numCache>
                <c:formatCode>0</c:formatCode>
                <c:ptCount val="11"/>
                <c:pt idx="0">
                  <c:v>43.46</c:v>
                </c:pt>
                <c:pt idx="1">
                  <c:v>167.83</c:v>
                </c:pt>
                <c:pt idx="2">
                  <c:v>344.3</c:v>
                </c:pt>
                <c:pt idx="3">
                  <c:v>517.17999999999995</c:v>
                </c:pt>
                <c:pt idx="4">
                  <c:v>629.28</c:v>
                </c:pt>
                <c:pt idx="5">
                  <c:v>655.95</c:v>
                </c:pt>
                <c:pt idx="6">
                  <c:v>611.61</c:v>
                </c:pt>
                <c:pt idx="7">
                  <c:v>528.6</c:v>
                </c:pt>
                <c:pt idx="8">
                  <c:v>435.43</c:v>
                </c:pt>
                <c:pt idx="9">
                  <c:v>348.87</c:v>
                </c:pt>
                <c:pt idx="10">
                  <c:v>275.67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22-4F12-AED9-FF1DD82AF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684671"/>
        <c:axId val="706964655"/>
      </c:lineChart>
      <c:catAx>
        <c:axId val="6226846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/>
                  <a:t>h1/h0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6964655"/>
        <c:crosses val="autoZero"/>
        <c:auto val="1"/>
        <c:lblAlgn val="ctr"/>
        <c:lblOffset val="100"/>
        <c:noMultiLvlLbl val="0"/>
      </c:catAx>
      <c:valAx>
        <c:axId val="706964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22684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0703488157392373"/>
          <c:y val="0.17187463610416026"/>
          <c:w val="0.34614269564087885"/>
          <c:h val="0.24009289408427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l</a:t>
            </a:r>
            <a:r>
              <a:rPr lang="en-US" sz="1200" b="0" i="1" baseline="-25000">
                <a:solidFill>
                  <a:sysClr val="windowText" lastClr="000000"/>
                </a:solidFill>
                <a:effectLst/>
              </a:rPr>
              <a:t>c</a:t>
            </a: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=500 mm; d</a:t>
            </a:r>
            <a:r>
              <a:rPr lang="en-US" sz="1200" b="0" i="1" baseline="-25000">
                <a:solidFill>
                  <a:sysClr val="windowText" lastClr="000000"/>
                </a:solidFill>
                <a:effectLst/>
              </a:rPr>
              <a:t>c</a:t>
            </a: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= 1mm; </a:t>
            </a:r>
            <a:r>
              <a:rPr lang="el-GR" sz="1200" b="0" i="0" baseline="0">
                <a:solidFill>
                  <a:sysClr val="windowText" lastClr="000000"/>
                </a:solidFill>
                <a:effectLst/>
              </a:rPr>
              <a:t>β</a:t>
            </a:r>
            <a:r>
              <a:rPr lang="it-IT" sz="1200" b="0" i="1" baseline="0">
                <a:solidFill>
                  <a:sysClr val="windowText" lastClr="000000"/>
                </a:solidFill>
                <a:effectLst/>
              </a:rPr>
              <a:t>=0,57</a:t>
            </a: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; C=17,46 mm</a:t>
            </a:r>
            <a:endParaRPr lang="pt-BR" sz="105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Pad Stiffness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tasche'!$AE$9:$AE$21</c:f>
              <c:numCache>
                <c:formatCode>General</c:formatCode>
                <c:ptCount val="13"/>
                <c:pt idx="0">
                  <c:v>161.15</c:v>
                </c:pt>
                <c:pt idx="1">
                  <c:v>330.59</c:v>
                </c:pt>
                <c:pt idx="2">
                  <c:v>496.57</c:v>
                </c:pt>
                <c:pt idx="3">
                  <c:v>604.22</c:v>
                </c:pt>
                <c:pt idx="4">
                  <c:v>629.85</c:v>
                </c:pt>
                <c:pt idx="5">
                  <c:v>587.32000000000005</c:v>
                </c:pt>
                <c:pt idx="6">
                  <c:v>507.66</c:v>
                </c:pt>
                <c:pt idx="7">
                  <c:v>418.24</c:v>
                </c:pt>
                <c:pt idx="8">
                  <c:v>335.14</c:v>
                </c:pt>
                <c:pt idx="9">
                  <c:v>264.86</c:v>
                </c:pt>
                <c:pt idx="10">
                  <c:v>208.33</c:v>
                </c:pt>
                <c:pt idx="11">
                  <c:v>164.02</c:v>
                </c:pt>
                <c:pt idx="12">
                  <c:v>129.71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59F-47D0-A214-3F30B927E800}"/>
            </c:ext>
          </c:extLst>
        </c:ser>
        <c:ser>
          <c:idx val="1"/>
          <c:order val="1"/>
          <c:tx>
            <c:v>Bearing Stiffness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tasche'!$AD$9:$AD$21</c:f>
              <c:numCache>
                <c:formatCode>General</c:formatCode>
                <c:ptCount val="13"/>
                <c:pt idx="0">
                  <c:v>322.3</c:v>
                </c:pt>
                <c:pt idx="1">
                  <c:v>661.17</c:v>
                </c:pt>
                <c:pt idx="2">
                  <c:v>993.15</c:v>
                </c:pt>
                <c:pt idx="3">
                  <c:v>1208.43</c:v>
                </c:pt>
                <c:pt idx="4">
                  <c:v>1259.7</c:v>
                </c:pt>
                <c:pt idx="5">
                  <c:v>1174.6400000000001</c:v>
                </c:pt>
                <c:pt idx="6">
                  <c:v>1015.32</c:v>
                </c:pt>
                <c:pt idx="7">
                  <c:v>836.47</c:v>
                </c:pt>
                <c:pt idx="8">
                  <c:v>670.28</c:v>
                </c:pt>
                <c:pt idx="9">
                  <c:v>529.73</c:v>
                </c:pt>
                <c:pt idx="10">
                  <c:v>416.66</c:v>
                </c:pt>
                <c:pt idx="11">
                  <c:v>328.04</c:v>
                </c:pt>
                <c:pt idx="12">
                  <c:v>259.42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98-40D7-A086-38B7C7AE7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7618383"/>
        <c:axId val="822789599"/>
      </c:lineChart>
      <c:catAx>
        <c:axId val="1297618383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Design film thickness h</a:t>
                </a:r>
                <a:r>
                  <a:rPr lang="pt-BR" sz="1050" b="1">
                    <a:solidFill>
                      <a:sysClr val="windowText" lastClr="000000"/>
                    </a:solidFill>
                  </a:rPr>
                  <a:t>d</a:t>
                </a:r>
                <a:r>
                  <a:rPr lang="pt-BR" sz="1200" b="1">
                    <a:solidFill>
                      <a:sysClr val="windowText" lastClr="000000"/>
                    </a:solidFill>
                  </a:rPr>
                  <a:t>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22789599"/>
        <c:crosses val="autoZero"/>
        <c:auto val="1"/>
        <c:lblAlgn val="ctr"/>
        <c:lblOffset val="100"/>
        <c:noMultiLvlLbl val="0"/>
      </c:catAx>
      <c:valAx>
        <c:axId val="82278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Film stiffness [N/</a:t>
                </a:r>
                <a:r>
                  <a:rPr lang="el-GR" sz="1200" b="1">
                    <a:solidFill>
                      <a:sysClr val="windowText" lastClr="000000"/>
                    </a:solidFill>
                  </a:rPr>
                  <a:t>μ</a:t>
                </a:r>
                <a:r>
                  <a:rPr lang="pt-BR" sz="1200" b="1">
                    <a:solidFill>
                      <a:sysClr val="windowText" lastClr="000000"/>
                    </a:solidFill>
                  </a:rPr>
                  <a:t>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97618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0154455417949735"/>
          <c:y val="9.7942401572426147E-2"/>
          <c:w val="0.22132171610474061"/>
          <c:h val="0.17494830138273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1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200" i="1">
                <a:solidFill>
                  <a:sysClr val="windowText" lastClr="000000"/>
                </a:solidFill>
              </a:rPr>
              <a:t>Journal bearing stiffness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3095636730190653E-2"/>
          <c:y val="8.2741640177095899E-2"/>
          <c:w val="0.86825703969957846"/>
          <c:h val="0.81471665406759575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tasche'!$W$6:$X$6</c:f>
              <c:strCache>
                <c:ptCount val="1"/>
                <c:pt idx="0">
                  <c:v>Equation (21)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tasche'!$AA$8:$AA$19</c:f>
              <c:numCache>
                <c:formatCode>0.00</c:formatCode>
                <c:ptCount val="12"/>
                <c:pt idx="0">
                  <c:v>3.3333333333333333E-2</c:v>
                </c:pt>
                <c:pt idx="1">
                  <c:v>0.16666666666666669</c:v>
                </c:pt>
                <c:pt idx="2">
                  <c:v>0.33333333333333337</c:v>
                </c:pt>
                <c:pt idx="3">
                  <c:v>0.5</c:v>
                </c:pt>
                <c:pt idx="4">
                  <c:v>0.66666666666666674</c:v>
                </c:pt>
                <c:pt idx="5">
                  <c:v>0.83333333333333337</c:v>
                </c:pt>
                <c:pt idx="6">
                  <c:v>1.1666666666666667</c:v>
                </c:pt>
                <c:pt idx="7">
                  <c:v>1.3333333333333335</c:v>
                </c:pt>
                <c:pt idx="8">
                  <c:v>1.5</c:v>
                </c:pt>
                <c:pt idx="9">
                  <c:v>1.6666666666666667</c:v>
                </c:pt>
                <c:pt idx="10">
                  <c:v>1.8333333333333335</c:v>
                </c:pt>
                <c:pt idx="11">
                  <c:v>1.9666666666666666</c:v>
                </c:pt>
              </c:numCache>
            </c:numRef>
          </c:cat>
          <c:val>
            <c:numRef>
              <c:f>'3 tasche'!$X$8:$X$19</c:f>
              <c:numCache>
                <c:formatCode>0</c:formatCode>
                <c:ptCount val="12"/>
                <c:pt idx="0">
                  <c:v>609</c:v>
                </c:pt>
                <c:pt idx="1">
                  <c:v>668</c:v>
                </c:pt>
                <c:pt idx="2">
                  <c:v>750.8</c:v>
                </c:pt>
                <c:pt idx="3">
                  <c:v>831.6</c:v>
                </c:pt>
                <c:pt idx="4">
                  <c:v>897</c:v>
                </c:pt>
                <c:pt idx="5">
                  <c:v>935</c:v>
                </c:pt>
                <c:pt idx="6">
                  <c:v>928</c:v>
                </c:pt>
                <c:pt idx="7">
                  <c:v>893</c:v>
                </c:pt>
                <c:pt idx="8">
                  <c:v>846.9</c:v>
                </c:pt>
                <c:pt idx="9">
                  <c:v>795.34</c:v>
                </c:pt>
                <c:pt idx="10">
                  <c:v>741.8</c:v>
                </c:pt>
                <c:pt idx="11">
                  <c:v>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38-43A1-B087-623BF4A0709B}"/>
            </c:ext>
          </c:extLst>
        </c:ser>
        <c:ser>
          <c:idx val="1"/>
          <c:order val="1"/>
          <c:tx>
            <c:strRef>
              <c:f>'3 tasche'!$Y$6:$Z$6</c:f>
              <c:strCache>
                <c:ptCount val="1"/>
                <c:pt idx="0">
                  <c:v>Equation (17)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tasche'!$AA$8:$AA$19</c:f>
              <c:numCache>
                <c:formatCode>0.00</c:formatCode>
                <c:ptCount val="12"/>
                <c:pt idx="0">
                  <c:v>3.3333333333333333E-2</c:v>
                </c:pt>
                <c:pt idx="1">
                  <c:v>0.16666666666666669</c:v>
                </c:pt>
                <c:pt idx="2">
                  <c:v>0.33333333333333337</c:v>
                </c:pt>
                <c:pt idx="3">
                  <c:v>0.5</c:v>
                </c:pt>
                <c:pt idx="4">
                  <c:v>0.66666666666666674</c:v>
                </c:pt>
                <c:pt idx="5">
                  <c:v>0.83333333333333337</c:v>
                </c:pt>
                <c:pt idx="6">
                  <c:v>1.1666666666666667</c:v>
                </c:pt>
                <c:pt idx="7">
                  <c:v>1.3333333333333335</c:v>
                </c:pt>
                <c:pt idx="8">
                  <c:v>1.5</c:v>
                </c:pt>
                <c:pt idx="9">
                  <c:v>1.6666666666666667</c:v>
                </c:pt>
                <c:pt idx="10">
                  <c:v>1.8333333333333335</c:v>
                </c:pt>
                <c:pt idx="11">
                  <c:v>1.9666666666666666</c:v>
                </c:pt>
              </c:numCache>
            </c:numRef>
          </c:cat>
          <c:val>
            <c:numRef>
              <c:f>'3 tasche'!$Z$8:$Z$19</c:f>
              <c:numCache>
                <c:formatCode>0</c:formatCode>
                <c:ptCount val="12"/>
                <c:pt idx="0">
                  <c:v>428.6</c:v>
                </c:pt>
                <c:pt idx="1">
                  <c:v>504.5</c:v>
                </c:pt>
                <c:pt idx="2">
                  <c:v>668.72</c:v>
                </c:pt>
                <c:pt idx="3">
                  <c:v>880.7</c:v>
                </c:pt>
                <c:pt idx="4">
                  <c:v>1083</c:v>
                </c:pt>
                <c:pt idx="5">
                  <c:v>1219</c:v>
                </c:pt>
                <c:pt idx="6">
                  <c:v>1214</c:v>
                </c:pt>
                <c:pt idx="7">
                  <c:v>1111.8</c:v>
                </c:pt>
                <c:pt idx="8">
                  <c:v>978.3</c:v>
                </c:pt>
                <c:pt idx="9">
                  <c:v>831.6</c:v>
                </c:pt>
                <c:pt idx="10">
                  <c:v>682.6</c:v>
                </c:pt>
                <c:pt idx="11">
                  <c:v>566.79999999999995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38-43A1-B087-623BF4A07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0501216"/>
        <c:axId val="1622319808"/>
      </c:lineChart>
      <c:catAx>
        <c:axId val="169050121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Film Thickness Ratio h</a:t>
                </a:r>
                <a:r>
                  <a:rPr lang="pt-BR" sz="1050" b="1">
                    <a:solidFill>
                      <a:sysClr val="windowText" lastClr="000000"/>
                    </a:solidFill>
                  </a:rPr>
                  <a:t>1</a:t>
                </a:r>
                <a:r>
                  <a:rPr lang="pt-BR" sz="1200" b="1">
                    <a:solidFill>
                      <a:sysClr val="windowText" lastClr="000000"/>
                    </a:solidFill>
                  </a:rPr>
                  <a:t>/</a:t>
                </a:r>
                <a:r>
                  <a:rPr lang="pt-BR" sz="1200" b="1" i="0" u="none" strike="noStrike" baseline="0">
                    <a:effectLst/>
                  </a:rPr>
                  <a:t>h</a:t>
                </a:r>
                <a:r>
                  <a:rPr lang="pt-BR" sz="1050" b="1" i="0" u="none" strike="noStrike" baseline="0">
                    <a:effectLst/>
                  </a:rPr>
                  <a:t>d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22319808"/>
        <c:crosses val="autoZero"/>
        <c:auto val="1"/>
        <c:lblAlgn val="ctr"/>
        <c:lblOffset val="100"/>
        <c:noMultiLvlLbl val="0"/>
      </c:catAx>
      <c:valAx>
        <c:axId val="162231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Stiffness [N/</a:t>
                </a:r>
                <a:r>
                  <a:rPr lang="el-GR" sz="1200" b="1" i="0" baseline="0">
                    <a:effectLst/>
                  </a:rPr>
                  <a:t>μ</a:t>
                </a:r>
                <a:r>
                  <a:rPr lang="en-US" sz="1200" b="1" i="0" baseline="0">
                    <a:effectLst/>
                  </a:rPr>
                  <a:t>m]</a:t>
                </a:r>
                <a:endParaRPr lang="pt-B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9050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837457702910238"/>
          <c:y val="0.18682628774106286"/>
          <c:w val="0.17736758120874455"/>
          <c:h val="9.45866324275575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91674130055936"/>
          <c:y val="0.13602696033486722"/>
          <c:w val="0.81180937005483855"/>
          <c:h val="0.67657098962853024"/>
        </c:manualLayout>
      </c:layout>
      <c:lineChart>
        <c:grouping val="standard"/>
        <c:varyColors val="0"/>
        <c:ser>
          <c:idx val="1"/>
          <c:order val="0"/>
          <c:tx>
            <c:strRef>
              <c:f>'x magneti'!$E$34</c:f>
              <c:strCache>
                <c:ptCount val="1"/>
                <c:pt idx="0">
                  <c:v>Text [°C]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'x magneti'!$B$35:$B$1193</c:f>
              <c:numCache>
                <c:formatCode>General</c:formatCode>
                <c:ptCount val="115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</c:numCache>
            </c:numRef>
          </c:cat>
          <c:val>
            <c:numRef>
              <c:f>'x magneti'!$E$35:$E$93</c:f>
              <c:numCache>
                <c:formatCode>0.00</c:formatCode>
                <c:ptCount val="59"/>
                <c:pt idx="0">
                  <c:v>20.28206628019532</c:v>
                </c:pt>
                <c:pt idx="1">
                  <c:v>20.559268911166935</c:v>
                </c:pt>
                <c:pt idx="2">
                  <c:v>20.831691756479668</c:v>
                </c:pt>
                <c:pt idx="3">
                  <c:v>21.099417233644719</c:v>
                </c:pt>
                <c:pt idx="4">
                  <c:v>21.362526339053893</c:v>
                </c:pt>
                <c:pt idx="5">
                  <c:v>21.621098672483853</c:v>
                </c:pt>
                <c:pt idx="6">
                  <c:v>21.875212461177849</c:v>
                </c:pt>
                <c:pt idx="7">
                  <c:v>22.124944583512228</c:v>
                </c:pt>
                <c:pt idx="8">
                  <c:v>22.370370592254851</c:v>
                </c:pt>
                <c:pt idx="9">
                  <c:v>22.611564737422469</c:v>
                </c:pt>
                <c:pt idx="10">
                  <c:v>22.848599988743953</c:v>
                </c:pt>
                <c:pt idx="11">
                  <c:v>23.081548057736228</c:v>
                </c:pt>
                <c:pt idx="12">
                  <c:v>23.310479419399528</c:v>
                </c:pt>
                <c:pt idx="13">
                  <c:v>23.535463333538566</c:v>
                </c:pt>
                <c:pt idx="14">
                  <c:v>23.756567865716068</c:v>
                </c:pt>
                <c:pt idx="15">
                  <c:v>23.973859907845</c:v>
                </c:pt>
                <c:pt idx="16">
                  <c:v>24.187405198425729</c:v>
                </c:pt>
                <c:pt idx="17">
                  <c:v>24.397268342434248</c:v>
                </c:pt>
                <c:pt idx="18">
                  <c:v>24.603512830867441</c:v>
                </c:pt>
                <c:pt idx="19">
                  <c:v>24.806201059951352</c:v>
                </c:pt>
                <c:pt idx="20">
                  <c:v>25.005394350018257</c:v>
                </c:pt>
                <c:pt idx="21">
                  <c:v>25.201152964058199</c:v>
                </c:pt>
                <c:pt idx="22">
                  <c:v>25.393536125950693</c:v>
                </c:pt>
                <c:pt idx="23">
                  <c:v>25.582602038382021</c:v>
                </c:pt>
                <c:pt idx="24">
                  <c:v>25.768407900453592</c:v>
                </c:pt>
                <c:pt idx="25">
                  <c:v>25.951009924986707</c:v>
                </c:pt>
                <c:pt idx="26">
                  <c:v>26.130463355528889</c:v>
                </c:pt>
                <c:pt idx="27">
                  <c:v>26.30682248306703</c:v>
                </c:pt>
                <c:pt idx="28">
                  <c:v>26.480140662452314</c:v>
                </c:pt>
                <c:pt idx="29">
                  <c:v>26.650470328541939</c:v>
                </c:pt>
                <c:pt idx="30">
                  <c:v>26.817863012062517</c:v>
                </c:pt>
                <c:pt idx="31">
                  <c:v>26.982369355199921</c:v>
                </c:pt>
                <c:pt idx="32">
                  <c:v>27.144039126920354</c:v>
                </c:pt>
                <c:pt idx="33">
                  <c:v>27.302921238027192</c:v>
                </c:pt>
                <c:pt idx="34">
                  <c:v>27.459063755958233</c:v>
                </c:pt>
                <c:pt idx="35">
                  <c:v>27.612513919327803</c:v>
                </c:pt>
                <c:pt idx="36">
                  <c:v>27.763318152218076</c:v>
                </c:pt>
                <c:pt idx="37">
                  <c:v>27.911522078224028</c:v>
                </c:pt>
                <c:pt idx="38">
                  <c:v>28.057170534256151</c:v>
                </c:pt>
                <c:pt idx="39">
                  <c:v>28.200307584105222</c:v>
                </c:pt>
                <c:pt idx="40">
                  <c:v>28.34097653177313</c:v>
                </c:pt>
                <c:pt idx="41">
                  <c:v>28.479219934573891</c:v>
                </c:pt>
                <c:pt idx="42">
                  <c:v>28.615079616008703</c:v>
                </c:pt>
                <c:pt idx="43">
                  <c:v>28.748596678419066</c:v>
                </c:pt>
                <c:pt idx="44">
                  <c:v>28.87981151542165</c:v>
                </c:pt>
                <c:pt idx="45">
                  <c:v>29.00876382412881</c:v>
                </c:pt>
                <c:pt idx="46">
                  <c:v>29.13549261715837</c:v>
                </c:pt>
                <c:pt idx="47">
                  <c:v>29.260036234436285</c:v>
                </c:pt>
                <c:pt idx="48">
                  <c:v>29.382432354795846</c:v>
                </c:pt>
                <c:pt idx="49">
                  <c:v>29.502718007376849</c:v>
                </c:pt>
                <c:pt idx="50">
                  <c:v>29.620929582828204</c:v>
                </c:pt>
                <c:pt idx="51">
                  <c:v>29.737102844317398</c:v>
                </c:pt>
                <c:pt idx="52">
                  <c:v>29.85127293835011</c:v>
                </c:pt>
                <c:pt idx="53">
                  <c:v>29.963474405403282</c:v>
                </c:pt>
                <c:pt idx="54">
                  <c:v>30.073741190374804</c:v>
                </c:pt>
                <c:pt idx="55">
                  <c:v>30.182106652853065</c:v>
                </c:pt>
                <c:pt idx="56">
                  <c:v>30.288603577209386</c:v>
                </c:pt>
                <c:pt idx="57">
                  <c:v>30.393264182516461</c:v>
                </c:pt>
                <c:pt idx="58">
                  <c:v>30.496120132295758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6A-4A80-B2CB-CBAD9EAD9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7927664"/>
        <c:axId val="2053314288"/>
      </c:lineChart>
      <c:catAx>
        <c:axId val="1947927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>
                    <a:solidFill>
                      <a:sysClr val="windowText" lastClr="000000"/>
                    </a:solidFill>
                  </a:rPr>
                  <a:t>Time (s)  </a:t>
                </a:r>
              </a:p>
            </c:rich>
          </c:tx>
          <c:layout>
            <c:manualLayout>
              <c:xMode val="edge"/>
              <c:yMode val="edge"/>
              <c:x val="0.50528355299708516"/>
              <c:y val="0.90022596895922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53314288"/>
        <c:crosses val="autoZero"/>
        <c:auto val="1"/>
        <c:lblAlgn val="ctr"/>
        <c:lblOffset val="100"/>
        <c:noMultiLvlLbl val="0"/>
      </c:catAx>
      <c:valAx>
        <c:axId val="205331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050">
                    <a:solidFill>
                      <a:sysClr val="windowText" lastClr="000000"/>
                    </a:solidFill>
                  </a:rPr>
                  <a:t>Temperature (°C)</a:t>
                </a:r>
              </a:p>
            </c:rich>
          </c:tx>
          <c:layout>
            <c:manualLayout>
              <c:xMode val="edge"/>
              <c:yMode val="edge"/>
              <c:x val="2.6273888644602117E-2"/>
              <c:y val="0.327649792873819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47927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303435423572"/>
          <c:y val="7.2951139754740643E-2"/>
          <c:w val="0.75118957591714952"/>
          <c:h val="0.76182736591888278"/>
        </c:manualLayout>
      </c:layout>
      <c:lineChart>
        <c:grouping val="standard"/>
        <c:varyColors val="0"/>
        <c:ser>
          <c:idx val="0"/>
          <c:order val="0"/>
          <c:tx>
            <c:v>Pad Stiffness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tasche'!$AD$28:$AD$45</c:f>
              <c:numCache>
                <c:formatCode>General</c:formatCode>
                <c:ptCount val="18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450</c:v>
                </c:pt>
                <c:pt idx="8">
                  <c:v>500</c:v>
                </c:pt>
                <c:pt idx="9">
                  <c:v>600</c:v>
                </c:pt>
                <c:pt idx="10">
                  <c:v>650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1500</c:v>
                </c:pt>
                <c:pt idx="17">
                  <c:v>2000</c:v>
                </c:pt>
              </c:numCache>
            </c:numRef>
          </c:cat>
          <c:val>
            <c:numRef>
              <c:f>'3 tasche'!$AE$28:$AE$45</c:f>
              <c:numCache>
                <c:formatCode>General</c:formatCode>
                <c:ptCount val="18"/>
                <c:pt idx="0">
                  <c:v>326.04000000000002</c:v>
                </c:pt>
                <c:pt idx="1">
                  <c:v>430.76</c:v>
                </c:pt>
                <c:pt idx="2">
                  <c:v>509.72</c:v>
                </c:pt>
                <c:pt idx="3">
                  <c:v>569.28</c:v>
                </c:pt>
                <c:pt idx="4">
                  <c:v>614.04</c:v>
                </c:pt>
                <c:pt idx="5">
                  <c:v>647.41</c:v>
                </c:pt>
                <c:pt idx="6">
                  <c:v>671.93</c:v>
                </c:pt>
                <c:pt idx="7">
                  <c:v>689.53</c:v>
                </c:pt>
                <c:pt idx="8">
                  <c:v>701.69</c:v>
                </c:pt>
                <c:pt idx="9">
                  <c:v>713.97</c:v>
                </c:pt>
                <c:pt idx="10">
                  <c:v>715.68</c:v>
                </c:pt>
                <c:pt idx="11">
                  <c:v>715.22</c:v>
                </c:pt>
                <c:pt idx="12">
                  <c:v>709.48</c:v>
                </c:pt>
                <c:pt idx="13">
                  <c:v>699.3</c:v>
                </c:pt>
                <c:pt idx="14">
                  <c:v>686.36</c:v>
                </c:pt>
                <c:pt idx="15">
                  <c:v>656.29</c:v>
                </c:pt>
                <c:pt idx="16">
                  <c:v>608.58000000000004</c:v>
                </c:pt>
                <c:pt idx="17">
                  <c:v>535.34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4-4D3B-8FAE-3242ED6BC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4300672"/>
        <c:axId val="301566256"/>
      </c:lineChart>
      <c:lineChart>
        <c:grouping val="standard"/>
        <c:varyColors val="0"/>
        <c:ser>
          <c:idx val="1"/>
          <c:order val="1"/>
          <c:tx>
            <c:v>Recess pressure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tasche'!$AD$28:$AD$45</c:f>
              <c:numCache>
                <c:formatCode>General</c:formatCode>
                <c:ptCount val="18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450</c:v>
                </c:pt>
                <c:pt idx="8">
                  <c:v>500</c:v>
                </c:pt>
                <c:pt idx="9">
                  <c:v>600</c:v>
                </c:pt>
                <c:pt idx="10">
                  <c:v>650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1500</c:v>
                </c:pt>
                <c:pt idx="17">
                  <c:v>2000</c:v>
                </c:pt>
              </c:numCache>
            </c:numRef>
          </c:cat>
          <c:val>
            <c:numRef>
              <c:f>'3 tasche'!$AG$28:$AG$45</c:f>
              <c:numCache>
                <c:formatCode>0.00</c:formatCode>
                <c:ptCount val="18"/>
                <c:pt idx="0">
                  <c:v>0.86900000000000011</c:v>
                </c:pt>
                <c:pt idx="1">
                  <c:v>0.81559999999999999</c:v>
                </c:pt>
                <c:pt idx="2">
                  <c:v>0.76819999999999988</c:v>
                </c:pt>
                <c:pt idx="3">
                  <c:v>0.72620000000000007</c:v>
                </c:pt>
                <c:pt idx="4">
                  <c:v>0.68840000000000001</c:v>
                </c:pt>
                <c:pt idx="5">
                  <c:v>0.65459999999999996</c:v>
                </c:pt>
                <c:pt idx="6">
                  <c:v>0.62380000000000002</c:v>
                </c:pt>
                <c:pt idx="7">
                  <c:v>0.59560000000000002</c:v>
                </c:pt>
                <c:pt idx="8">
                  <c:v>0.56999999999999995</c:v>
                </c:pt>
                <c:pt idx="9">
                  <c:v>0.52500000000000002</c:v>
                </c:pt>
                <c:pt idx="10">
                  <c:v>0.505</c:v>
                </c:pt>
                <c:pt idx="11">
                  <c:v>0.4864</c:v>
                </c:pt>
                <c:pt idx="12">
                  <c:v>0.45319999999999999</c:v>
                </c:pt>
                <c:pt idx="13">
                  <c:v>0.42420000000000002</c:v>
                </c:pt>
                <c:pt idx="14">
                  <c:v>0.39860000000000001</c:v>
                </c:pt>
                <c:pt idx="15">
                  <c:v>0.35580000000000001</c:v>
                </c:pt>
                <c:pt idx="16">
                  <c:v>0.30659999999999998</c:v>
                </c:pt>
                <c:pt idx="17">
                  <c:v>0.249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E4-4D3B-8FAE-3242ED6BC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898799"/>
        <c:axId val="440377471"/>
      </c:lineChart>
      <c:catAx>
        <c:axId val="854300672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Capillary restrictor Length [mm]</a:t>
                </a:r>
              </a:p>
            </c:rich>
          </c:tx>
          <c:layout>
            <c:manualLayout>
              <c:xMode val="edge"/>
              <c:yMode val="edge"/>
              <c:x val="0.28373217223888869"/>
              <c:y val="0.910964195513296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01566256"/>
        <c:crosses val="autoZero"/>
        <c:auto val="1"/>
        <c:lblAlgn val="ctr"/>
        <c:lblOffset val="100"/>
        <c:noMultiLvlLbl val="0"/>
      </c:catAx>
      <c:valAx>
        <c:axId val="30156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Stiffness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 [N/</a:t>
                </a:r>
                <a:r>
                  <a:rPr lang="el-GR" sz="1200" b="1" baseline="0">
                    <a:solidFill>
                      <a:sysClr val="windowText" lastClr="000000"/>
                    </a:solidFill>
                  </a:rPr>
                  <a:t>μ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m]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54300672"/>
        <c:crosses val="autoZero"/>
        <c:crossBetween val="between"/>
      </c:valAx>
      <c:valAx>
        <c:axId val="44037747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Recess Pressure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30898799"/>
        <c:crosses val="max"/>
        <c:crossBetween val="between"/>
      </c:valAx>
      <c:catAx>
        <c:axId val="1030898799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40377471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898885348635981"/>
          <c:y val="0.49125549433541765"/>
          <c:w val="0.26245275967690052"/>
          <c:h val="0.265116786455327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4974564211716"/>
          <c:y val="6.7247494559358162E-2"/>
          <c:w val="0.73377244372494344"/>
          <c:h val="0.8042176442138752"/>
        </c:manualLayout>
      </c:layout>
      <c:lineChart>
        <c:grouping val="standard"/>
        <c:varyColors val="0"/>
        <c:ser>
          <c:idx val="0"/>
          <c:order val="1"/>
          <c:tx>
            <c:strRef>
              <c:f>'3 tasche'!$AF$8</c:f>
              <c:strCache>
                <c:ptCount val="1"/>
                <c:pt idx="0">
                  <c:v>Wd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tasche'!$AV$14:$AV$28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tasche'!$AF$9:$AF$21</c:f>
              <c:numCache>
                <c:formatCode>General</c:formatCode>
                <c:ptCount val="13"/>
                <c:pt idx="0">
                  <c:v>26981</c:v>
                </c:pt>
                <c:pt idx="1">
                  <c:v>25765</c:v>
                </c:pt>
                <c:pt idx="2">
                  <c:v>23685</c:v>
                </c:pt>
                <c:pt idx="3">
                  <c:v>20903</c:v>
                </c:pt>
                <c:pt idx="4">
                  <c:v>17786</c:v>
                </c:pt>
                <c:pt idx="5">
                  <c:v>14723</c:v>
                </c:pt>
                <c:pt idx="6">
                  <c:v>11978</c:v>
                </c:pt>
                <c:pt idx="7">
                  <c:v>9665</c:v>
                </c:pt>
                <c:pt idx="8">
                  <c:v>7787</c:v>
                </c:pt>
                <c:pt idx="9">
                  <c:v>6294</c:v>
                </c:pt>
                <c:pt idx="10">
                  <c:v>5117</c:v>
                </c:pt>
                <c:pt idx="11">
                  <c:v>4191</c:v>
                </c:pt>
                <c:pt idx="12">
                  <c:v>3461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C8-4425-B6B7-B98D58969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232080"/>
        <c:axId val="960487584"/>
      </c:lineChart>
      <c:lineChart>
        <c:grouping val="standard"/>
        <c:varyColors val="0"/>
        <c:ser>
          <c:idx val="1"/>
          <c:order val="0"/>
          <c:tx>
            <c:v>Pad Stiffness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tasche'!$W$75:$W$89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tasche'!$AE$9:$AE$21</c:f>
              <c:numCache>
                <c:formatCode>General</c:formatCode>
                <c:ptCount val="13"/>
                <c:pt idx="0">
                  <c:v>161.15</c:v>
                </c:pt>
                <c:pt idx="1">
                  <c:v>330.59</c:v>
                </c:pt>
                <c:pt idx="2">
                  <c:v>496.57</c:v>
                </c:pt>
                <c:pt idx="3">
                  <c:v>604.22</c:v>
                </c:pt>
                <c:pt idx="4">
                  <c:v>629.85</c:v>
                </c:pt>
                <c:pt idx="5">
                  <c:v>587.32000000000005</c:v>
                </c:pt>
                <c:pt idx="6">
                  <c:v>507.66</c:v>
                </c:pt>
                <c:pt idx="7">
                  <c:v>418.24</c:v>
                </c:pt>
                <c:pt idx="8">
                  <c:v>335.14</c:v>
                </c:pt>
                <c:pt idx="9">
                  <c:v>264.86</c:v>
                </c:pt>
                <c:pt idx="10">
                  <c:v>208.33</c:v>
                </c:pt>
                <c:pt idx="11">
                  <c:v>164.02</c:v>
                </c:pt>
                <c:pt idx="12">
                  <c:v>129.71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C8-4425-B6B7-B98D589697D7}"/>
            </c:ext>
          </c:extLst>
        </c:ser>
        <c:ser>
          <c:idx val="2"/>
          <c:order val="2"/>
          <c:tx>
            <c:strRef>
              <c:f>'3 tasche'!$X$72</c:f>
              <c:strCache>
                <c:ptCount val="1"/>
                <c:pt idx="0">
                  <c:v>30χ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tasche'!$W$75:$W$89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tasche'!$Z$75:$Z$89</c:f>
              <c:numCache>
                <c:formatCode>0</c:formatCode>
                <c:ptCount val="15"/>
                <c:pt idx="0">
                  <c:v>81.514086962667733</c:v>
                </c:pt>
                <c:pt idx="1">
                  <c:v>172.28857203174721</c:v>
                </c:pt>
                <c:pt idx="2">
                  <c:v>273.95099554400889</c:v>
                </c:pt>
                <c:pt idx="3">
                  <c:v>364.58416144187504</c:v>
                </c:pt>
                <c:pt idx="4">
                  <c:v>429.91265632740516</c:v>
                </c:pt>
                <c:pt idx="5">
                  <c:v>467.09102485437194</c:v>
                </c:pt>
                <c:pt idx="6">
                  <c:v>480.94527574466019</c:v>
                </c:pt>
                <c:pt idx="7">
                  <c:v>478.61608481996939</c:v>
                </c:pt>
                <c:pt idx="8">
                  <c:v>466.40789017652304</c:v>
                </c:pt>
                <c:pt idx="9">
                  <c:v>448.86088467184555</c:v>
                </c:pt>
                <c:pt idx="10">
                  <c:v>428.90595033813537</c:v>
                </c:pt>
                <c:pt idx="11">
                  <c:v>408.30664237035467</c:v>
                </c:pt>
                <c:pt idx="12">
                  <c:v>388.06404273548634</c:v>
                </c:pt>
                <c:pt idx="13">
                  <c:v>368.70863878006844</c:v>
                </c:pt>
                <c:pt idx="14">
                  <c:v>350.49067029888994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4C8-4425-B6B7-B98D58969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285983"/>
        <c:axId val="1137864031"/>
      </c:lineChart>
      <c:catAx>
        <c:axId val="93023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Design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 Film thickness [mm]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5663008802738438"/>
              <c:y val="0.925637698130699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60487584"/>
        <c:crosses val="autoZero"/>
        <c:auto val="1"/>
        <c:lblAlgn val="ctr"/>
        <c:lblOffset val="100"/>
        <c:noMultiLvlLbl val="0"/>
      </c:catAx>
      <c:valAx>
        <c:axId val="96048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Design Load Capacity [N]</a:t>
                </a:r>
              </a:p>
            </c:rich>
          </c:tx>
          <c:layout>
            <c:manualLayout>
              <c:xMode val="edge"/>
              <c:yMode val="edge"/>
              <c:x val="1.4068868548281354E-2"/>
              <c:y val="0.225697308890216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30232080"/>
        <c:crosses val="autoZero"/>
        <c:crossBetween val="between"/>
      </c:valAx>
      <c:valAx>
        <c:axId val="113786403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Stiffnes [N/um]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42285983"/>
        <c:crosses val="max"/>
        <c:crossBetween val="between"/>
      </c:valAx>
      <c:catAx>
        <c:axId val="11422859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78640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664827431535451"/>
          <c:y val="0.1675852567706787"/>
          <c:w val="0.23396459584415974"/>
          <c:h val="0.198610217535632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57661387200954"/>
          <c:y val="6.7247494559358162E-2"/>
          <c:w val="0.79920901291120217"/>
          <c:h val="0.8042176442138752"/>
        </c:manualLayout>
      </c:layout>
      <c:lineChart>
        <c:grouping val="standard"/>
        <c:varyColors val="0"/>
        <c:ser>
          <c:idx val="0"/>
          <c:order val="1"/>
          <c:tx>
            <c:v>Load Wd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tasche'!$AF$9:$AF$21</c:f>
              <c:numCache>
                <c:formatCode>General</c:formatCode>
                <c:ptCount val="13"/>
                <c:pt idx="0">
                  <c:v>26981</c:v>
                </c:pt>
                <c:pt idx="1">
                  <c:v>25765</c:v>
                </c:pt>
                <c:pt idx="2">
                  <c:v>23685</c:v>
                </c:pt>
                <c:pt idx="3">
                  <c:v>20903</c:v>
                </c:pt>
                <c:pt idx="4">
                  <c:v>17786</c:v>
                </c:pt>
                <c:pt idx="5">
                  <c:v>14723</c:v>
                </c:pt>
                <c:pt idx="6">
                  <c:v>11978</c:v>
                </c:pt>
                <c:pt idx="7">
                  <c:v>9665</c:v>
                </c:pt>
                <c:pt idx="8">
                  <c:v>7787</c:v>
                </c:pt>
                <c:pt idx="9">
                  <c:v>6294</c:v>
                </c:pt>
                <c:pt idx="10">
                  <c:v>5117</c:v>
                </c:pt>
                <c:pt idx="11">
                  <c:v>4191</c:v>
                </c:pt>
                <c:pt idx="12">
                  <c:v>3461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67-444D-AC56-D26E880DD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232080"/>
        <c:axId val="960487584"/>
      </c:lineChart>
      <c:lineChart>
        <c:grouping val="standard"/>
        <c:varyColors val="0"/>
        <c:ser>
          <c:idx val="1"/>
          <c:order val="0"/>
          <c:tx>
            <c:v>Pad Stiffness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tasche'!$AE$9:$AE$21</c:f>
              <c:numCache>
                <c:formatCode>General</c:formatCode>
                <c:ptCount val="13"/>
                <c:pt idx="0">
                  <c:v>161.15</c:v>
                </c:pt>
                <c:pt idx="1">
                  <c:v>330.59</c:v>
                </c:pt>
                <c:pt idx="2">
                  <c:v>496.57</c:v>
                </c:pt>
                <c:pt idx="3">
                  <c:v>604.22</c:v>
                </c:pt>
                <c:pt idx="4">
                  <c:v>629.85</c:v>
                </c:pt>
                <c:pt idx="5">
                  <c:v>587.32000000000005</c:v>
                </c:pt>
                <c:pt idx="6">
                  <c:v>507.66</c:v>
                </c:pt>
                <c:pt idx="7">
                  <c:v>418.24</c:v>
                </c:pt>
                <c:pt idx="8">
                  <c:v>335.14</c:v>
                </c:pt>
                <c:pt idx="9">
                  <c:v>264.86</c:v>
                </c:pt>
                <c:pt idx="10">
                  <c:v>208.33</c:v>
                </c:pt>
                <c:pt idx="11">
                  <c:v>164.02</c:v>
                </c:pt>
                <c:pt idx="12">
                  <c:v>129.71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67-444D-AC56-D26E880DD17F}"/>
            </c:ext>
          </c:extLst>
        </c:ser>
        <c:ser>
          <c:idx val="2"/>
          <c:order val="2"/>
          <c:tx>
            <c:strRef>
              <c:f>'3 tasche'!$X$72</c:f>
              <c:strCache>
                <c:ptCount val="1"/>
                <c:pt idx="0">
                  <c:v>30χ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tasche'!$Z$75:$Z$87</c:f>
              <c:numCache>
                <c:formatCode>0</c:formatCode>
                <c:ptCount val="13"/>
                <c:pt idx="0">
                  <c:v>81.514086962667733</c:v>
                </c:pt>
                <c:pt idx="1">
                  <c:v>172.28857203174721</c:v>
                </c:pt>
                <c:pt idx="2">
                  <c:v>273.95099554400889</c:v>
                </c:pt>
                <c:pt idx="3">
                  <c:v>364.58416144187504</c:v>
                </c:pt>
                <c:pt idx="4">
                  <c:v>429.91265632740516</c:v>
                </c:pt>
                <c:pt idx="5">
                  <c:v>467.09102485437194</c:v>
                </c:pt>
                <c:pt idx="6">
                  <c:v>480.94527574466019</c:v>
                </c:pt>
                <c:pt idx="7">
                  <c:v>478.61608481996939</c:v>
                </c:pt>
                <c:pt idx="8">
                  <c:v>466.40789017652304</c:v>
                </c:pt>
                <c:pt idx="9">
                  <c:v>448.86088467184555</c:v>
                </c:pt>
                <c:pt idx="10">
                  <c:v>428.90595033813537</c:v>
                </c:pt>
                <c:pt idx="11">
                  <c:v>408.30664237035467</c:v>
                </c:pt>
                <c:pt idx="12">
                  <c:v>388.06404273548634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AF-4516-A26F-94E14805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285983"/>
        <c:axId val="1137864031"/>
      </c:lineChart>
      <c:catAx>
        <c:axId val="93023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400" b="1">
                    <a:solidFill>
                      <a:sysClr val="windowText" lastClr="000000"/>
                    </a:solidFill>
                  </a:rPr>
                  <a:t>Design</a:t>
                </a:r>
                <a:r>
                  <a:rPr lang="pt-BR" sz="1400" b="1" baseline="0">
                    <a:solidFill>
                      <a:sysClr val="windowText" lastClr="000000"/>
                    </a:solidFill>
                  </a:rPr>
                  <a:t> Film thickness [mm]</a:t>
                </a:r>
                <a:endParaRPr lang="pt-BR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5663008802738438"/>
              <c:y val="0.925637698130699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60487584"/>
        <c:crosses val="autoZero"/>
        <c:auto val="1"/>
        <c:lblAlgn val="ctr"/>
        <c:lblOffset val="100"/>
        <c:noMultiLvlLbl val="0"/>
      </c:catAx>
      <c:valAx>
        <c:axId val="96048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400" b="1">
                    <a:solidFill>
                      <a:sysClr val="windowText" lastClr="000000"/>
                    </a:solidFill>
                  </a:rPr>
                  <a:t>Load [N]</a:t>
                </a:r>
              </a:p>
            </c:rich>
          </c:tx>
          <c:layout>
            <c:manualLayout>
              <c:xMode val="edge"/>
              <c:yMode val="edge"/>
              <c:x val="1.6599552315409178E-2"/>
              <c:y val="0.383443765251483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30232080"/>
        <c:crosses val="autoZero"/>
        <c:crossBetween val="between"/>
      </c:valAx>
      <c:valAx>
        <c:axId val="113786403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400" b="1">
                    <a:solidFill>
                      <a:sysClr val="windowText" lastClr="000000"/>
                    </a:solidFill>
                  </a:rPr>
                  <a:t>Stiffnes [N/um]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42285983"/>
        <c:crosses val="max"/>
        <c:crossBetween val="between"/>
      </c:valAx>
      <c:catAx>
        <c:axId val="11422859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78640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203288543519835"/>
          <c:y val="0.12426841710690302"/>
          <c:w val="0.31796704008088927"/>
          <c:h val="3.9260138402117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 tasche'!$X$72</c:f>
              <c:strCache>
                <c:ptCount val="1"/>
                <c:pt idx="0">
                  <c:v>30χ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 tasche'!$W$73:$W$89</c:f>
              <c:numCache>
                <c:formatCode>General</c:formatCode>
                <c:ptCount val="17"/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</c:numCache>
            </c:numRef>
          </c:xVal>
          <c:yVal>
            <c:numRef>
              <c:f>'3 tasche'!$X$73:$X$89</c:f>
              <c:numCache>
                <c:formatCode>0</c:formatCode>
                <c:ptCount val="17"/>
                <c:pt idx="2">
                  <c:v>2.7171362320889247E-3</c:v>
                </c:pt>
                <c:pt idx="3">
                  <c:v>5.7429524010582404E-3</c:v>
                </c:pt>
                <c:pt idx="4">
                  <c:v>9.131699851466963E-3</c:v>
                </c:pt>
                <c:pt idx="5">
                  <c:v>1.2152805381395834E-2</c:v>
                </c:pt>
                <c:pt idx="6">
                  <c:v>1.4330421877580171E-2</c:v>
                </c:pt>
                <c:pt idx="7">
                  <c:v>1.5569700828479064E-2</c:v>
                </c:pt>
                <c:pt idx="8">
                  <c:v>1.6031509191488675E-2</c:v>
                </c:pt>
                <c:pt idx="9">
                  <c:v>1.595386949399898E-2</c:v>
                </c:pt>
                <c:pt idx="10">
                  <c:v>1.5546929672550768E-2</c:v>
                </c:pt>
                <c:pt idx="11">
                  <c:v>1.4962029489061517E-2</c:v>
                </c:pt>
                <c:pt idx="12">
                  <c:v>1.4296865011271177E-2</c:v>
                </c:pt>
                <c:pt idx="13">
                  <c:v>1.3610221412345155E-2</c:v>
                </c:pt>
                <c:pt idx="14">
                  <c:v>1.2935468091182878E-2</c:v>
                </c:pt>
                <c:pt idx="15">
                  <c:v>1.2290287959335615E-2</c:v>
                </c:pt>
                <c:pt idx="16">
                  <c:v>1.1683022343296332E-2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E3-4043-AE6F-A910DFC6EE1B}"/>
            </c:ext>
          </c:extLst>
        </c:ser>
        <c:ser>
          <c:idx val="1"/>
          <c:order val="1"/>
          <c:tx>
            <c:v>p*Wd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 tasche'!$W$75:$W$89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xVal>
          <c:yVal>
            <c:numRef>
              <c:f>'3 tasche'!$Y$75:$Y$89</c:f>
              <c:numCache>
                <c:formatCode>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EE3-4043-AE6F-A910DFC6E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723231"/>
        <c:axId val="1135720079"/>
      </c:scatterChart>
      <c:valAx>
        <c:axId val="1194723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35720079"/>
        <c:crosses val="autoZero"/>
        <c:crossBetween val="midCat"/>
      </c:valAx>
      <c:valAx>
        <c:axId val="1135720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94723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2000">
                <a:solidFill>
                  <a:sysClr val="windowText" lastClr="000000"/>
                </a:solidFill>
              </a:rPr>
              <a:t>Journal</a:t>
            </a:r>
            <a:r>
              <a:rPr lang="pt-BR" sz="2000" baseline="0">
                <a:solidFill>
                  <a:sysClr val="windowText" lastClr="000000"/>
                </a:solidFill>
              </a:rPr>
              <a:t> bearing stiffness</a:t>
            </a:r>
            <a:endParaRPr lang="pt-BR" sz="2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39543278377228286"/>
          <c:y val="2.03962722680719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2585133759184866"/>
          <c:y val="9.1290446115645713E-2"/>
          <c:w val="0.85211529047239176"/>
          <c:h val="0.79246198745131391"/>
        </c:manualLayout>
      </c:layout>
      <c:lineChart>
        <c:grouping val="standard"/>
        <c:varyColors val="0"/>
        <c:ser>
          <c:idx val="0"/>
          <c:order val="0"/>
          <c:tx>
            <c:v>k_UP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tasche'!$W$74:$W$78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</c:numCache>
            </c:numRef>
          </c:cat>
          <c:val>
            <c:numRef>
              <c:f>'3 tasche'!$AJ$5:$AJ$9</c:f>
              <c:numCache>
                <c:formatCode>0</c:formatCode>
                <c:ptCount val="5"/>
                <c:pt idx="0">
                  <c:v>4354</c:v>
                </c:pt>
                <c:pt idx="1">
                  <c:v>2467</c:v>
                </c:pt>
                <c:pt idx="2">
                  <c:v>1789.3</c:v>
                </c:pt>
                <c:pt idx="3">
                  <c:v>1405</c:v>
                </c:pt>
                <c:pt idx="4">
                  <c:v>1144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53-45A7-ADCF-DE323580F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6441456"/>
        <c:axId val="1923618672"/>
      </c:lineChart>
      <c:catAx>
        <c:axId val="726441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</a:rPr>
                  <a:t>Spindle vertical displacement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23618672"/>
        <c:crosses val="autoZero"/>
        <c:auto val="1"/>
        <c:lblAlgn val="ctr"/>
        <c:lblOffset val="100"/>
        <c:noMultiLvlLbl val="0"/>
      </c:catAx>
      <c:valAx>
        <c:axId val="192361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</a:rPr>
                  <a:t>Stiffness [N/um]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26441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329414219047631"/>
          <c:y val="0.18126247464920017"/>
          <c:w val="0.25027649372412147"/>
          <c:h val="0.449737231921058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2555804435634307"/>
          <c:y val="0.16101891905260807"/>
          <c:w val="0.80292217437029512"/>
          <c:h val="0.6071904226875402"/>
        </c:manualLayout>
      </c:layout>
      <c:lineChart>
        <c:grouping val="standard"/>
        <c:varyColors val="0"/>
        <c:ser>
          <c:idx val="1"/>
          <c:order val="0"/>
          <c:tx>
            <c:strRef>
              <c:f>'3 tasche'!$AE$50</c:f>
              <c:strCache>
                <c:ptCount val="1"/>
                <c:pt idx="0">
                  <c:v>lc=500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tasche'!$AE$52:$AE$59</c:f>
              <c:numCache>
                <c:formatCode>General</c:formatCode>
                <c:ptCount val="8"/>
                <c:pt idx="0">
                  <c:v>202.35</c:v>
                </c:pt>
                <c:pt idx="1">
                  <c:v>358.29</c:v>
                </c:pt>
                <c:pt idx="2">
                  <c:v>524.42999999999995</c:v>
                </c:pt>
                <c:pt idx="3">
                  <c:v>653.02</c:v>
                </c:pt>
                <c:pt idx="4">
                  <c:v>712.29</c:v>
                </c:pt>
                <c:pt idx="5">
                  <c:v>701.69</c:v>
                </c:pt>
                <c:pt idx="6">
                  <c:v>559.9</c:v>
                </c:pt>
                <c:pt idx="7">
                  <c:v>392.7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98-4BBD-987E-9CC00BDDE8AF}"/>
            </c:ext>
          </c:extLst>
        </c:ser>
        <c:ser>
          <c:idx val="2"/>
          <c:order val="1"/>
          <c:tx>
            <c:strRef>
              <c:f>'3 tasche'!$AF$50</c:f>
              <c:strCache>
                <c:ptCount val="1"/>
                <c:pt idx="0">
                  <c:v>lc=300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tasche'!$AF$52:$AF$59</c:f>
              <c:numCache>
                <c:formatCode>General</c:formatCode>
                <c:ptCount val="8"/>
                <c:pt idx="0">
                  <c:v>305.3</c:v>
                </c:pt>
                <c:pt idx="1">
                  <c:v>495.53</c:v>
                </c:pt>
                <c:pt idx="2">
                  <c:v>648.45000000000005</c:v>
                </c:pt>
                <c:pt idx="3">
                  <c:v>713.98</c:v>
                </c:pt>
                <c:pt idx="4">
                  <c:v>691.6</c:v>
                </c:pt>
                <c:pt idx="5">
                  <c:v>614.04</c:v>
                </c:pt>
                <c:pt idx="6">
                  <c:v>420.96</c:v>
                </c:pt>
                <c:pt idx="7">
                  <c:v>269.89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98-4BBD-987E-9CC00BDDE8AF}"/>
            </c:ext>
          </c:extLst>
        </c:ser>
        <c:ser>
          <c:idx val="3"/>
          <c:order val="2"/>
          <c:tx>
            <c:strRef>
              <c:f>'3 tasche'!$AG$50</c:f>
              <c:strCache>
                <c:ptCount val="1"/>
                <c:pt idx="0">
                  <c:v>lc=100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tasche'!$AG$52:$AG$59</c:f>
              <c:numCache>
                <c:formatCode>General</c:formatCode>
                <c:ptCount val="8"/>
                <c:pt idx="0">
                  <c:v>593.04999999999995</c:v>
                </c:pt>
                <c:pt idx="1">
                  <c:v>711.65</c:v>
                </c:pt>
                <c:pt idx="2">
                  <c:v>678.42</c:v>
                </c:pt>
                <c:pt idx="3">
                  <c:v>563.14</c:v>
                </c:pt>
                <c:pt idx="4">
                  <c:v>435.11</c:v>
                </c:pt>
                <c:pt idx="5">
                  <c:v>326.04000000000002</c:v>
                </c:pt>
                <c:pt idx="6">
                  <c:v>180.96</c:v>
                </c:pt>
                <c:pt idx="7">
                  <c:v>104.07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98-4BBD-987E-9CC00BDDE8AF}"/>
            </c:ext>
          </c:extLst>
        </c:ser>
        <c:ser>
          <c:idx val="4"/>
          <c:order val="3"/>
          <c:tx>
            <c:strRef>
              <c:f>'3 tasche'!$AH$50</c:f>
              <c:strCache>
                <c:ptCount val="1"/>
                <c:pt idx="0">
                  <c:v>lc=50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tasche'!$AH$52:$AH$59</c:f>
              <c:numCache>
                <c:formatCode>General</c:formatCode>
                <c:ptCount val="8"/>
                <c:pt idx="0">
                  <c:v>709.48</c:v>
                </c:pt>
                <c:pt idx="1">
                  <c:v>665.75</c:v>
                </c:pt>
                <c:pt idx="2">
                  <c:v>520.74</c:v>
                </c:pt>
                <c:pt idx="3">
                  <c:v>375.94</c:v>
                </c:pt>
                <c:pt idx="4">
                  <c:v>264.72000000000003</c:v>
                </c:pt>
                <c:pt idx="5">
                  <c:v>186.69</c:v>
                </c:pt>
                <c:pt idx="6">
                  <c:v>96.94</c:v>
                </c:pt>
                <c:pt idx="7">
                  <c:v>54.06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98-4BBD-987E-9CC00BDDE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6415456"/>
        <c:axId val="2144483840"/>
      </c:lineChart>
      <c:catAx>
        <c:axId val="72641545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83840"/>
        <c:crosses val="autoZero"/>
        <c:auto val="1"/>
        <c:lblAlgn val="ctr"/>
        <c:lblOffset val="100"/>
        <c:noMultiLvlLbl val="0"/>
      </c:catAx>
      <c:valAx>
        <c:axId val="214448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2641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222250381890886"/>
          <c:y val="0.14058526429394413"/>
          <c:w val="0.16910294941577114"/>
          <c:h val="0.215882187413618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 tasche'!$AQ$11:$AU$11</c:f>
              <c:strCache>
                <c:ptCount val="1"/>
                <c:pt idx="0">
                  <c:v>l=500mm; C=21,83mm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tasche'!$AV$14:$AV$28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tasche'!$AT$14:$AT$28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10C-41DF-BB93-77C78AA59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9792463"/>
        <c:axId val="704396287"/>
      </c:lineChart>
      <c:catAx>
        <c:axId val="709792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4396287"/>
        <c:crosses val="autoZero"/>
        <c:auto val="1"/>
        <c:lblAlgn val="ctr"/>
        <c:lblOffset val="100"/>
        <c:noMultiLvlLbl val="0"/>
      </c:catAx>
      <c:valAx>
        <c:axId val="70439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9792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9914354763486295E-2"/>
          <c:y val="0.31801012660963918"/>
          <c:w val="0.89999811561635834"/>
          <c:h val="0.562503937007874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beta=0,25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7543331836723289"/>
          <c:y val="0.2533225905732866"/>
          <c:w val="0.78779141313288714"/>
          <c:h val="0.5152891241841997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tasche'!$AJ$21</c:f>
              <c:strCache>
                <c:ptCount val="1"/>
                <c:pt idx="0">
                  <c:v>k_UP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tasche'!$AM$22:$AM$32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>
                  <c:v>1</c:v>
                </c:pt>
                <c:pt idx="6">
                  <c:v>1.167</c:v>
                </c:pt>
                <c:pt idx="7">
                  <c:v>1.333</c:v>
                </c:pt>
                <c:pt idx="8">
                  <c:v>1.5</c:v>
                </c:pt>
                <c:pt idx="9">
                  <c:v>1.67</c:v>
                </c:pt>
                <c:pt idx="10">
                  <c:v>1.83</c:v>
                </c:pt>
              </c:numCache>
            </c:numRef>
          </c:cat>
          <c:val>
            <c:numRef>
              <c:f>'3 tasche'!$AJ$22:$AJ$32</c:f>
              <c:numCache>
                <c:formatCode>0</c:formatCode>
                <c:ptCount val="11"/>
                <c:pt idx="0">
                  <c:v>1131.08</c:v>
                </c:pt>
                <c:pt idx="1">
                  <c:v>1292</c:v>
                </c:pt>
                <c:pt idx="2">
                  <c:v>1395</c:v>
                </c:pt>
                <c:pt idx="3">
                  <c:v>1527</c:v>
                </c:pt>
                <c:pt idx="4">
                  <c:v>2113.88</c:v>
                </c:pt>
                <c:pt idx="6">
                  <c:v>1006</c:v>
                </c:pt>
                <c:pt idx="7">
                  <c:v>357.68</c:v>
                </c:pt>
                <c:pt idx="8">
                  <c:v>173.93</c:v>
                </c:pt>
                <c:pt idx="9">
                  <c:v>97.5</c:v>
                </c:pt>
                <c:pt idx="10">
                  <c:v>59.6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3EE-4896-9656-2FAB5F57B22A}"/>
            </c:ext>
          </c:extLst>
        </c:ser>
        <c:ser>
          <c:idx val="1"/>
          <c:order val="1"/>
          <c:tx>
            <c:strRef>
              <c:f>'3 tasche'!$AL$21</c:f>
              <c:strCache>
                <c:ptCount val="1"/>
                <c:pt idx="0">
                  <c:v>k1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tasche'!$AM$22:$AM$32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>
                  <c:v>1</c:v>
                </c:pt>
                <c:pt idx="6">
                  <c:v>1.167</c:v>
                </c:pt>
                <c:pt idx="7">
                  <c:v>1.333</c:v>
                </c:pt>
                <c:pt idx="8">
                  <c:v>1.5</c:v>
                </c:pt>
                <c:pt idx="9">
                  <c:v>1.67</c:v>
                </c:pt>
                <c:pt idx="10">
                  <c:v>1.83</c:v>
                </c:pt>
              </c:numCache>
            </c:numRef>
          </c:cat>
          <c:val>
            <c:numRef>
              <c:f>'3 tasche'!$AL$22:$AL$32</c:f>
              <c:numCache>
                <c:formatCode>0</c:formatCode>
                <c:ptCount val="11"/>
                <c:pt idx="0">
                  <c:v>229.54</c:v>
                </c:pt>
                <c:pt idx="1">
                  <c:v>766.23</c:v>
                </c:pt>
                <c:pt idx="2">
                  <c:v>1130</c:v>
                </c:pt>
                <c:pt idx="3">
                  <c:v>1070</c:v>
                </c:pt>
                <c:pt idx="4">
                  <c:v>800.92</c:v>
                </c:pt>
                <c:pt idx="5">
                  <c:v>541.28</c:v>
                </c:pt>
                <c:pt idx="6">
                  <c:v>355.54</c:v>
                </c:pt>
                <c:pt idx="7">
                  <c:v>234.81</c:v>
                </c:pt>
                <c:pt idx="8">
                  <c:v>158.11000000000001</c:v>
                </c:pt>
                <c:pt idx="9">
                  <c:v>109.05</c:v>
                </c:pt>
                <c:pt idx="10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33EE-4896-9656-2FAB5F57B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686271"/>
        <c:axId val="608852271"/>
      </c:lineChart>
      <c:catAx>
        <c:axId val="6226862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h1/h0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8852271"/>
        <c:crosses val="autoZero"/>
        <c:auto val="1"/>
        <c:lblAlgn val="ctr"/>
        <c:lblOffset val="100"/>
        <c:noMultiLvlLbl val="0"/>
      </c:catAx>
      <c:valAx>
        <c:axId val="60885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k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2268627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743356681457753"/>
          <c:y val="0.13581979806378208"/>
          <c:w val="0.29262785505578964"/>
          <c:h val="0.2625077412516557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13" Type="http://schemas.openxmlformats.org/officeDocument/2006/relationships/chart" Target="../charts/chart8.xml"/><Relationship Id="rId18" Type="http://schemas.openxmlformats.org/officeDocument/2006/relationships/chart" Target="../charts/chart13.xml"/><Relationship Id="rId3" Type="http://schemas.openxmlformats.org/officeDocument/2006/relationships/image" Target="../media/image3.JPG"/><Relationship Id="rId7" Type="http://schemas.openxmlformats.org/officeDocument/2006/relationships/chart" Target="../charts/chart2.xml"/><Relationship Id="rId12" Type="http://schemas.openxmlformats.org/officeDocument/2006/relationships/chart" Target="../charts/chart7.xml"/><Relationship Id="rId17" Type="http://schemas.openxmlformats.org/officeDocument/2006/relationships/chart" Target="../charts/chart12.xml"/><Relationship Id="rId2" Type="http://schemas.openxmlformats.org/officeDocument/2006/relationships/image" Target="../media/image7.jpeg"/><Relationship Id="rId16" Type="http://schemas.openxmlformats.org/officeDocument/2006/relationships/chart" Target="../charts/chart11.xml"/><Relationship Id="rId1" Type="http://schemas.openxmlformats.org/officeDocument/2006/relationships/image" Target="../media/image6.jpeg"/><Relationship Id="rId6" Type="http://schemas.openxmlformats.org/officeDocument/2006/relationships/chart" Target="../charts/chart1.xml"/><Relationship Id="rId11" Type="http://schemas.openxmlformats.org/officeDocument/2006/relationships/chart" Target="../charts/chart6.xml"/><Relationship Id="rId5" Type="http://schemas.openxmlformats.org/officeDocument/2006/relationships/image" Target="../media/image8.jpeg"/><Relationship Id="rId15" Type="http://schemas.openxmlformats.org/officeDocument/2006/relationships/chart" Target="../charts/chart10.xml"/><Relationship Id="rId10" Type="http://schemas.openxmlformats.org/officeDocument/2006/relationships/chart" Target="../charts/chart5.xml"/><Relationship Id="rId19" Type="http://schemas.openxmlformats.org/officeDocument/2006/relationships/chart" Target="../charts/chart14.xml"/><Relationship Id="rId4" Type="http://schemas.openxmlformats.org/officeDocument/2006/relationships/image" Target="../media/image4.JPG"/><Relationship Id="rId9" Type="http://schemas.openxmlformats.org/officeDocument/2006/relationships/chart" Target="../charts/chart4.xml"/><Relationship Id="rId1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jpeg"/><Relationship Id="rId2" Type="http://schemas.openxmlformats.org/officeDocument/2006/relationships/chart" Target="../charts/chart15.xml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3387</xdr:colOff>
      <xdr:row>12</xdr:row>
      <xdr:rowOff>147607</xdr:rowOff>
    </xdr:from>
    <xdr:to>
      <xdr:col>3</xdr:col>
      <xdr:colOff>39024</xdr:colOff>
      <xdr:row>17</xdr:row>
      <xdr:rowOff>55458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7B273C3-243C-4E4C-B0F7-E6ABB2305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987" y="2247340"/>
          <a:ext cx="1254837" cy="842994"/>
        </a:xfrm>
        <a:prstGeom prst="rect">
          <a:avLst/>
        </a:prstGeom>
      </xdr:spPr>
    </xdr:pic>
    <xdr:clientData/>
  </xdr:twoCellAnchor>
  <xdr:twoCellAnchor editAs="oneCell">
    <xdr:from>
      <xdr:col>0</xdr:col>
      <xdr:colOff>169333</xdr:colOff>
      <xdr:row>27</xdr:row>
      <xdr:rowOff>2</xdr:rowOff>
    </xdr:from>
    <xdr:to>
      <xdr:col>2</xdr:col>
      <xdr:colOff>588010</xdr:colOff>
      <xdr:row>31</xdr:row>
      <xdr:rowOff>93239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15C0FDC6-FCF0-496B-AD61-11F2F425E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33" y="4893735"/>
          <a:ext cx="1634067" cy="885294"/>
        </a:xfrm>
        <a:prstGeom prst="rect">
          <a:avLst/>
        </a:prstGeom>
      </xdr:spPr>
    </xdr:pic>
    <xdr:clientData/>
  </xdr:twoCellAnchor>
  <xdr:twoCellAnchor editAs="oneCell">
    <xdr:from>
      <xdr:col>13</xdr:col>
      <xdr:colOff>167641</xdr:colOff>
      <xdr:row>0</xdr:row>
      <xdr:rowOff>0</xdr:rowOff>
    </xdr:from>
    <xdr:to>
      <xdr:col>16</xdr:col>
      <xdr:colOff>220769</xdr:colOff>
      <xdr:row>11</xdr:row>
      <xdr:rowOff>97278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71073271-15D1-42AA-AE0A-18D16433E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63574" y="0"/>
          <a:ext cx="2846493" cy="2159335"/>
        </a:xfrm>
        <a:prstGeom prst="rect">
          <a:avLst/>
        </a:prstGeom>
      </xdr:spPr>
    </xdr:pic>
    <xdr:clientData/>
  </xdr:twoCellAnchor>
  <xdr:twoCellAnchor editAs="oneCell">
    <xdr:from>
      <xdr:col>12</xdr:col>
      <xdr:colOff>203542</xdr:colOff>
      <xdr:row>15</xdr:row>
      <xdr:rowOff>39794</xdr:rowOff>
    </xdr:from>
    <xdr:to>
      <xdr:col>13</xdr:col>
      <xdr:colOff>436961</xdr:colOff>
      <xdr:row>25</xdr:row>
      <xdr:rowOff>21551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9DD697EA-C24A-4917-BEFE-CE8A1F68A9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207"/>
        <a:stretch/>
      </xdr:blipFill>
      <xdr:spPr>
        <a:xfrm>
          <a:off x="9372942" y="2672927"/>
          <a:ext cx="863764" cy="1874480"/>
        </a:xfrm>
        <a:prstGeom prst="rect">
          <a:avLst/>
        </a:prstGeom>
      </xdr:spPr>
    </xdr:pic>
    <xdr:clientData/>
  </xdr:twoCellAnchor>
  <xdr:twoCellAnchor editAs="oneCell">
    <xdr:from>
      <xdr:col>3</xdr:col>
      <xdr:colOff>59266</xdr:colOff>
      <xdr:row>57</xdr:row>
      <xdr:rowOff>42333</xdr:rowOff>
    </xdr:from>
    <xdr:to>
      <xdr:col>5</xdr:col>
      <xdr:colOff>822113</xdr:colOff>
      <xdr:row>67</xdr:row>
      <xdr:rowOff>22819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DF12EF4-FC27-4EE0-8DBB-359DD2C42A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8066" y="10659533"/>
          <a:ext cx="2717800" cy="1846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11</xdr:row>
      <xdr:rowOff>156072</xdr:rowOff>
    </xdr:from>
    <xdr:to>
      <xdr:col>2</xdr:col>
      <xdr:colOff>549487</xdr:colOff>
      <xdr:row>17</xdr:row>
      <xdr:rowOff>168999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71CADD2-3EB1-4BDD-8E47-E9DACADF9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035672"/>
          <a:ext cx="1684867" cy="1131888"/>
        </a:xfrm>
        <a:prstGeom prst="rect">
          <a:avLst/>
        </a:prstGeom>
      </xdr:spPr>
    </xdr:pic>
    <xdr:clientData/>
  </xdr:twoCellAnchor>
  <xdr:twoCellAnchor editAs="oneCell">
    <xdr:from>
      <xdr:col>0</xdr:col>
      <xdr:colOff>30620</xdr:colOff>
      <xdr:row>26</xdr:row>
      <xdr:rowOff>182033</xdr:rowOff>
    </xdr:from>
    <xdr:to>
      <xdr:col>2</xdr:col>
      <xdr:colOff>439999</xdr:colOff>
      <xdr:row>31</xdr:row>
      <xdr:rowOff>24767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7EFB509-25DE-4572-9576-49D97B2C0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20" y="4611158"/>
          <a:ext cx="1691444" cy="894292"/>
        </a:xfrm>
        <a:prstGeom prst="rect">
          <a:avLst/>
        </a:prstGeom>
      </xdr:spPr>
    </xdr:pic>
    <xdr:clientData/>
  </xdr:twoCellAnchor>
  <xdr:twoCellAnchor editAs="oneCell">
    <xdr:from>
      <xdr:col>14</xdr:col>
      <xdr:colOff>82976</xdr:colOff>
      <xdr:row>0</xdr:row>
      <xdr:rowOff>22346</xdr:rowOff>
    </xdr:from>
    <xdr:to>
      <xdr:col>17</xdr:col>
      <xdr:colOff>60389</xdr:colOff>
      <xdr:row>11</xdr:row>
      <xdr:rowOff>93444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1B21FA4-E32D-463C-A17D-441C2BA99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7433" y="22346"/>
          <a:ext cx="2843620" cy="2138023"/>
        </a:xfrm>
        <a:prstGeom prst="rect">
          <a:avLst/>
        </a:prstGeom>
      </xdr:spPr>
    </xdr:pic>
    <xdr:clientData/>
  </xdr:twoCellAnchor>
  <xdr:twoCellAnchor editAs="oneCell">
    <xdr:from>
      <xdr:col>12</xdr:col>
      <xdr:colOff>178142</xdr:colOff>
      <xdr:row>15</xdr:row>
      <xdr:rowOff>124459</xdr:rowOff>
    </xdr:from>
    <xdr:to>
      <xdr:col>13</xdr:col>
      <xdr:colOff>415373</xdr:colOff>
      <xdr:row>25</xdr:row>
      <xdr:rowOff>63005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06F3652-45D1-4434-9535-8FFF011C33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207"/>
        <a:stretch/>
      </xdr:blipFill>
      <xdr:spPr>
        <a:xfrm>
          <a:off x="9042742" y="2571326"/>
          <a:ext cx="863764" cy="1874480"/>
        </a:xfrm>
        <a:prstGeom prst="rect">
          <a:avLst/>
        </a:prstGeom>
      </xdr:spPr>
    </xdr:pic>
    <xdr:clientData/>
  </xdr:twoCellAnchor>
  <xdr:twoCellAnchor editAs="oneCell">
    <xdr:from>
      <xdr:col>19</xdr:col>
      <xdr:colOff>171368</xdr:colOff>
      <xdr:row>1</xdr:row>
      <xdr:rowOff>152401</xdr:rowOff>
    </xdr:from>
    <xdr:to>
      <xdr:col>21</xdr:col>
      <xdr:colOff>941839</xdr:colOff>
      <xdr:row>12</xdr:row>
      <xdr:rowOff>169001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3734DD81-6208-44EE-872E-FA5A24FA0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4539" y="337458"/>
          <a:ext cx="2341824" cy="2079171"/>
        </a:xfrm>
        <a:prstGeom prst="rect">
          <a:avLst/>
        </a:prstGeom>
      </xdr:spPr>
    </xdr:pic>
    <xdr:clientData/>
  </xdr:twoCellAnchor>
  <xdr:twoCellAnchor>
    <xdr:from>
      <xdr:col>13</xdr:col>
      <xdr:colOff>76198</xdr:colOff>
      <xdr:row>45</xdr:row>
      <xdr:rowOff>171061</xdr:rowOff>
    </xdr:from>
    <xdr:to>
      <xdr:col>13</xdr:col>
      <xdr:colOff>85531</xdr:colOff>
      <xdr:row>50</xdr:row>
      <xdr:rowOff>21770</xdr:rowOff>
    </xdr:to>
    <xdr:cxnSp macro="">
      <xdr:nvCxnSpPr>
        <xdr:cNvPr id="7" name="Connettore 2 6">
          <a:extLst>
            <a:ext uri="{FF2B5EF4-FFF2-40B4-BE49-F238E27FC236}">
              <a16:creationId xmlns:a16="http://schemas.microsoft.com/office/drawing/2014/main" id="{E37A921D-838D-432D-ACFD-9886B3F1618C}"/>
            </a:ext>
          </a:extLst>
        </xdr:cNvPr>
        <xdr:cNvCxnSpPr/>
      </xdr:nvCxnSpPr>
      <xdr:spPr>
        <a:xfrm flipV="1">
          <a:off x="9966647" y="7892143"/>
          <a:ext cx="9333" cy="822647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65311</xdr:colOff>
      <xdr:row>50</xdr:row>
      <xdr:rowOff>32657</xdr:rowOff>
    </xdr:from>
    <xdr:to>
      <xdr:col>13</xdr:col>
      <xdr:colOff>1099454</xdr:colOff>
      <xdr:row>50</xdr:row>
      <xdr:rowOff>32657</xdr:rowOff>
    </xdr:to>
    <xdr:cxnSp macro="">
      <xdr:nvCxnSpPr>
        <xdr:cNvPr id="10" name="Connettore 2 9">
          <a:extLst>
            <a:ext uri="{FF2B5EF4-FFF2-40B4-BE49-F238E27FC236}">
              <a16:creationId xmlns:a16="http://schemas.microsoft.com/office/drawing/2014/main" id="{2F1E7E19-686F-4649-AD15-FA56B99BA06C}"/>
            </a:ext>
          </a:extLst>
        </xdr:cNvPr>
        <xdr:cNvCxnSpPr/>
      </xdr:nvCxnSpPr>
      <xdr:spPr>
        <a:xfrm>
          <a:off x="9797140" y="8316686"/>
          <a:ext cx="1034143" cy="0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485775</xdr:colOff>
      <xdr:row>34</xdr:row>
      <xdr:rowOff>171452</xdr:rowOff>
    </xdr:from>
    <xdr:to>
      <xdr:col>42</xdr:col>
      <xdr:colOff>57151</xdr:colOff>
      <xdr:row>42</xdr:row>
      <xdr:rowOff>85726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CFC3BCD6-C046-444C-AEF3-851AF473ED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29</xdr:col>
      <xdr:colOff>250372</xdr:colOff>
      <xdr:row>31</xdr:row>
      <xdr:rowOff>43543</xdr:rowOff>
    </xdr:from>
    <xdr:to>
      <xdr:col>30</xdr:col>
      <xdr:colOff>642257</xdr:colOff>
      <xdr:row>35</xdr:row>
      <xdr:rowOff>87086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F04D1D58-A135-4E04-B25F-FDD4C25693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31</xdr:col>
      <xdr:colOff>468086</xdr:colOff>
      <xdr:row>0</xdr:row>
      <xdr:rowOff>76200</xdr:rowOff>
    </xdr:from>
    <xdr:to>
      <xdr:col>32</xdr:col>
      <xdr:colOff>544287</xdr:colOff>
      <xdr:row>4</xdr:row>
      <xdr:rowOff>54428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9AF10E5-1552-4905-A11D-F2010F7F56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152401</xdr:colOff>
      <xdr:row>67</xdr:row>
      <xdr:rowOff>32657</xdr:rowOff>
    </xdr:from>
    <xdr:to>
      <xdr:col>26</xdr:col>
      <xdr:colOff>348342</xdr:colOff>
      <xdr:row>73</xdr:row>
      <xdr:rowOff>141515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4F33DE40-3BAB-4C52-95EA-B7109EF49F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163285</xdr:colOff>
      <xdr:row>82</xdr:row>
      <xdr:rowOff>163285</xdr:rowOff>
    </xdr:from>
    <xdr:to>
      <xdr:col>22</xdr:col>
      <xdr:colOff>87084</xdr:colOff>
      <xdr:row>91</xdr:row>
      <xdr:rowOff>87085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AA16E0D8-3051-4999-A80D-2A690E0B6D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34</xdr:col>
      <xdr:colOff>511629</xdr:colOff>
      <xdr:row>0</xdr:row>
      <xdr:rowOff>0</xdr:rowOff>
    </xdr:from>
    <xdr:to>
      <xdr:col>38</xdr:col>
      <xdr:colOff>141514</xdr:colOff>
      <xdr:row>1</xdr:row>
      <xdr:rowOff>152400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75D146B8-31F2-42CB-A21F-6F8B4F8C39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30</xdr:col>
      <xdr:colOff>228600</xdr:colOff>
      <xdr:row>51</xdr:row>
      <xdr:rowOff>54430</xdr:rowOff>
    </xdr:from>
    <xdr:to>
      <xdr:col>33</xdr:col>
      <xdr:colOff>163284</xdr:colOff>
      <xdr:row>58</xdr:row>
      <xdr:rowOff>152401</xdr:rowOff>
    </xdr:to>
    <xdr:graphicFrame macro="">
      <xdr:nvGraphicFramePr>
        <xdr:cNvPr id="23" name="Grafico 22">
          <a:extLst>
            <a:ext uri="{FF2B5EF4-FFF2-40B4-BE49-F238E27FC236}">
              <a16:creationId xmlns:a16="http://schemas.microsoft.com/office/drawing/2014/main" id="{C281FEB1-0E86-4196-987F-0A8B8A3BCE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46</xdr:col>
      <xdr:colOff>97971</xdr:colOff>
      <xdr:row>15</xdr:row>
      <xdr:rowOff>21772</xdr:rowOff>
    </xdr:from>
    <xdr:to>
      <xdr:col>46</xdr:col>
      <xdr:colOff>522513</xdr:colOff>
      <xdr:row>17</xdr:row>
      <xdr:rowOff>21772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C2B3F390-C360-4785-B503-B0E8912F27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46</xdr:col>
      <xdr:colOff>54429</xdr:colOff>
      <xdr:row>22</xdr:row>
      <xdr:rowOff>152400</xdr:rowOff>
    </xdr:from>
    <xdr:to>
      <xdr:col>47</xdr:col>
      <xdr:colOff>380999</xdr:colOff>
      <xdr:row>26</xdr:row>
      <xdr:rowOff>185058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4DC1E72B-2F02-458E-95DF-284A15BFFB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42</xdr:col>
      <xdr:colOff>500742</xdr:colOff>
      <xdr:row>26</xdr:row>
      <xdr:rowOff>87085</xdr:rowOff>
    </xdr:from>
    <xdr:to>
      <xdr:col>44</xdr:col>
      <xdr:colOff>478970</xdr:colOff>
      <xdr:row>31</xdr:row>
      <xdr:rowOff>119742</xdr:rowOff>
    </xdr:to>
    <xdr:graphicFrame macro="">
      <xdr:nvGraphicFramePr>
        <xdr:cNvPr id="24" name="Grafico 23">
          <a:extLst>
            <a:ext uri="{FF2B5EF4-FFF2-40B4-BE49-F238E27FC236}">
              <a16:creationId xmlns:a16="http://schemas.microsoft.com/office/drawing/2014/main" id="{5F799688-8C6A-4CE4-87F1-39BD236F2F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39</xdr:col>
      <xdr:colOff>141514</xdr:colOff>
      <xdr:row>2</xdr:row>
      <xdr:rowOff>21772</xdr:rowOff>
    </xdr:from>
    <xdr:to>
      <xdr:col>40</xdr:col>
      <xdr:colOff>435428</xdr:colOff>
      <xdr:row>6</xdr:row>
      <xdr:rowOff>76201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AB7F0506-CD05-4E8F-BAB8-5752A646C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40</xdr:col>
      <xdr:colOff>195941</xdr:colOff>
      <xdr:row>2</xdr:row>
      <xdr:rowOff>7256</xdr:rowOff>
    </xdr:from>
    <xdr:to>
      <xdr:col>42</xdr:col>
      <xdr:colOff>220978</xdr:colOff>
      <xdr:row>7</xdr:row>
      <xdr:rowOff>130629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EFAF391D-C454-474B-9162-697B5446B4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29</xdr:col>
      <xdr:colOff>87086</xdr:colOff>
      <xdr:row>0</xdr:row>
      <xdr:rowOff>0</xdr:rowOff>
    </xdr:from>
    <xdr:to>
      <xdr:col>30</xdr:col>
      <xdr:colOff>552995</xdr:colOff>
      <xdr:row>4</xdr:row>
      <xdr:rowOff>97971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9F556AEE-EF8C-4C73-A431-C81D6304D4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20</xdr:col>
      <xdr:colOff>261257</xdr:colOff>
      <xdr:row>12</xdr:row>
      <xdr:rowOff>185056</xdr:rowOff>
    </xdr:from>
    <xdr:to>
      <xdr:col>22</xdr:col>
      <xdr:colOff>195942</xdr:colOff>
      <xdr:row>21</xdr:row>
      <xdr:rowOff>10886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D5CB8EB7-C446-419F-BBED-5042782A96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388619</xdr:colOff>
      <xdr:row>20</xdr:row>
      <xdr:rowOff>45374</xdr:rowOff>
    </xdr:from>
    <xdr:to>
      <xdr:col>5</xdr:col>
      <xdr:colOff>424834</xdr:colOff>
      <xdr:row>38</xdr:row>
      <xdr:rowOff>175260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30D8888-AACC-4D08-A0E0-B9F0D515D9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839" t="13576" r="9905" b="4563"/>
        <a:stretch/>
      </xdr:blipFill>
      <xdr:spPr>
        <a:xfrm>
          <a:off x="998219" y="3885854"/>
          <a:ext cx="3739535" cy="34217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156157</xdr:colOff>
      <xdr:row>11</xdr:row>
      <xdr:rowOff>171026</xdr:rowOff>
    </xdr:from>
    <xdr:to>
      <xdr:col>9</xdr:col>
      <xdr:colOff>535781</xdr:colOff>
      <xdr:row>22</xdr:row>
      <xdr:rowOff>129114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057DE45-6CE4-4A08-8CB2-1B570A5E7E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26957" y="2219959"/>
          <a:ext cx="2064491" cy="2007022"/>
        </a:xfrm>
        <a:prstGeom prst="rect">
          <a:avLst/>
        </a:prstGeom>
      </xdr:spPr>
    </xdr:pic>
    <xdr:clientData/>
  </xdr:twoCellAnchor>
  <xdr:twoCellAnchor>
    <xdr:from>
      <xdr:col>9</xdr:col>
      <xdr:colOff>905932</xdr:colOff>
      <xdr:row>25</xdr:row>
      <xdr:rowOff>93132</xdr:rowOff>
    </xdr:from>
    <xdr:to>
      <xdr:col>16</xdr:col>
      <xdr:colOff>177801</xdr:colOff>
      <xdr:row>41</xdr:row>
      <xdr:rowOff>93133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EFC5084C-12C2-4FB2-98C3-FAA60499E3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408860</xdr:colOff>
      <xdr:row>9</xdr:row>
      <xdr:rowOff>29896</xdr:rowOff>
    </xdr:from>
    <xdr:to>
      <xdr:col>6</xdr:col>
      <xdr:colOff>524933</xdr:colOff>
      <xdr:row>21</xdr:row>
      <xdr:rowOff>160866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E4C888CD-9F73-40CD-AB22-0FEB875BD2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2793" y="1706296"/>
          <a:ext cx="3045540" cy="236617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FARACI FERDINANDO" id="{5BBE0496-8A74-45C3-BB18-63B4632326C1}" userId="FARACI FERDINANDO" providerId="None"/>
</personList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2" dT="2020-11-27T08:04:23.07" personId="{5BBE0496-8A74-45C3-BB18-63B4632326C1}" id="{21F1AE3B-42B1-4C49-BC5B-21051C0EC4D1}">
    <text>è la superficie di scambio riferita alle sole spire esterne ed è quindi approssimata alla superficie del magnete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watch?v=mz9_5MYXDw0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youtube.com/watch?v=mz9_5MYXDw0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9014-D34B-4E30-8F3D-ED329835FEAC}">
  <dimension ref="A1:AB69"/>
  <sheetViews>
    <sheetView topLeftCell="C10" zoomScale="80" zoomScaleNormal="80" workbookViewId="0">
      <selection activeCell="R22" sqref="R22"/>
    </sheetView>
  </sheetViews>
  <sheetFormatPr defaultRowHeight="14.4" x14ac:dyDescent="0.3"/>
  <cols>
    <col min="4" max="4" width="17.6640625" bestFit="1" customWidth="1"/>
    <col min="5" max="5" width="10.77734375" customWidth="1"/>
    <col min="6" max="6" width="13.33203125" bestFit="1" customWidth="1"/>
    <col min="8" max="8" width="9.88671875" bestFit="1" customWidth="1"/>
    <col min="9" max="9" width="16.21875" customWidth="1"/>
    <col min="10" max="10" width="10" bestFit="1" customWidth="1"/>
    <col min="11" max="11" width="14.44140625" bestFit="1" customWidth="1"/>
    <col min="12" max="12" width="11.109375" bestFit="1" customWidth="1"/>
    <col min="13" max="13" width="9.109375" bestFit="1" customWidth="1"/>
    <col min="14" max="14" width="12.6640625" bestFit="1" customWidth="1"/>
    <col min="15" max="15" width="15.44140625" bestFit="1" customWidth="1"/>
    <col min="16" max="16" width="12.6640625" bestFit="1" customWidth="1"/>
    <col min="17" max="17" width="11.5546875" bestFit="1" customWidth="1"/>
    <col min="18" max="18" width="13.109375" customWidth="1"/>
    <col min="19" max="19" width="6.5546875" bestFit="1" customWidth="1"/>
    <col min="20" max="20" width="14.5546875" bestFit="1" customWidth="1"/>
    <col min="21" max="21" width="14.5546875" customWidth="1"/>
    <col min="22" max="22" width="12" bestFit="1" customWidth="1"/>
    <col min="25" max="25" width="9.44140625" bestFit="1" customWidth="1"/>
    <col min="28" max="28" width="12" bestFit="1" customWidth="1"/>
    <col min="30" max="31" width="10.44140625" bestFit="1" customWidth="1"/>
    <col min="32" max="32" width="14.5546875" bestFit="1" customWidth="1"/>
  </cols>
  <sheetData>
    <row r="1" spans="1:28" x14ac:dyDescent="0.3">
      <c r="D1" s="561" t="s">
        <v>0</v>
      </c>
      <c r="E1" s="562"/>
      <c r="F1" s="562"/>
      <c r="G1" s="565"/>
      <c r="H1" s="1"/>
      <c r="I1" s="561" t="s">
        <v>32</v>
      </c>
      <c r="J1" s="562"/>
      <c r="K1" s="562"/>
      <c r="L1" s="562"/>
      <c r="M1" s="562"/>
      <c r="AB1" s="33" t="s">
        <v>1</v>
      </c>
    </row>
    <row r="2" spans="1:28" x14ac:dyDescent="0.3">
      <c r="D2" s="563"/>
      <c r="E2" s="564"/>
      <c r="F2" s="564"/>
      <c r="G2" s="566"/>
      <c r="H2" s="1"/>
      <c r="I2" s="563"/>
      <c r="J2" s="564"/>
      <c r="K2" s="564"/>
      <c r="L2" s="564"/>
      <c r="M2" s="564"/>
      <c r="R2" s="584">
        <f>6*F24/PI()/R10^3*LN(L9/F5)*1000^4*360/L12</f>
        <v>117057821045.44173</v>
      </c>
      <c r="S2" s="586" t="s">
        <v>54</v>
      </c>
    </row>
    <row r="3" spans="1:28" x14ac:dyDescent="0.3">
      <c r="D3" s="2" t="s">
        <v>12</v>
      </c>
      <c r="E3" s="28" t="s">
        <v>13</v>
      </c>
      <c r="F3" s="10"/>
      <c r="G3" s="3" t="s">
        <v>14</v>
      </c>
      <c r="H3" s="1"/>
      <c r="I3" s="567"/>
      <c r="J3" s="568"/>
      <c r="R3" s="585"/>
      <c r="S3" s="587"/>
    </row>
    <row r="4" spans="1:28" x14ac:dyDescent="0.3">
      <c r="A4" s="516" t="s">
        <v>45</v>
      </c>
      <c r="B4" s="516"/>
      <c r="D4" s="114" t="s">
        <v>15</v>
      </c>
      <c r="E4" s="115" t="s">
        <v>16</v>
      </c>
      <c r="F4" s="113">
        <v>100</v>
      </c>
      <c r="G4" s="113" t="s">
        <v>3</v>
      </c>
      <c r="H4" s="1"/>
      <c r="I4" s="526" t="s">
        <v>29</v>
      </c>
      <c r="J4" s="537"/>
      <c r="K4" s="28" t="s">
        <v>31</v>
      </c>
      <c r="L4" s="104">
        <v>100</v>
      </c>
      <c r="M4" s="3" t="s">
        <v>3</v>
      </c>
      <c r="N4" s="1"/>
      <c r="R4" s="585">
        <f>6*F24/PI()/R12^3*LN(L9/F5)*1000^4*360/L12</f>
        <v>117057821045.44173</v>
      </c>
      <c r="S4" s="587" t="s">
        <v>54</v>
      </c>
    </row>
    <row r="5" spans="1:28" x14ac:dyDescent="0.3">
      <c r="A5" s="517" t="s">
        <v>46</v>
      </c>
      <c r="B5" s="517"/>
      <c r="D5" s="116" t="s">
        <v>107</v>
      </c>
      <c r="E5" s="113" t="s">
        <v>108</v>
      </c>
      <c r="F5" s="113">
        <f>F4/2</f>
        <v>50</v>
      </c>
      <c r="G5" s="113" t="s">
        <v>3</v>
      </c>
      <c r="H5" s="1"/>
      <c r="I5" s="546" t="s">
        <v>40</v>
      </c>
      <c r="J5" s="547"/>
      <c r="K5" s="28" t="s">
        <v>30</v>
      </c>
      <c r="L5" s="57">
        <f>L13*L9</f>
        <v>66.758843888783105</v>
      </c>
      <c r="M5" s="3" t="str">
        <f>G6</f>
        <v>mm</v>
      </c>
      <c r="N5" s="1"/>
      <c r="R5" s="588"/>
      <c r="S5" s="589"/>
    </row>
    <row r="6" spans="1:28" x14ac:dyDescent="0.3">
      <c r="A6" s="518" t="s">
        <v>61</v>
      </c>
      <c r="B6" s="518"/>
      <c r="D6" s="114" t="s">
        <v>17</v>
      </c>
      <c r="E6" s="115" t="s">
        <v>18</v>
      </c>
      <c r="F6" s="113">
        <v>100</v>
      </c>
      <c r="G6" s="113" t="s">
        <v>3</v>
      </c>
      <c r="H6" s="1"/>
      <c r="I6" s="526" t="s">
        <v>41</v>
      </c>
      <c r="J6" s="537"/>
      <c r="K6" s="28" t="s">
        <v>42</v>
      </c>
      <c r="L6" s="6">
        <v>5</v>
      </c>
      <c r="M6" s="3" t="s">
        <v>3</v>
      </c>
      <c r="N6" s="1"/>
    </row>
    <row r="7" spans="1:28" x14ac:dyDescent="0.3">
      <c r="D7" s="114" t="s">
        <v>19</v>
      </c>
      <c r="E7" s="115"/>
      <c r="F7" s="113">
        <v>4</v>
      </c>
      <c r="G7" s="113"/>
      <c r="H7" s="1"/>
      <c r="I7" s="526"/>
      <c r="J7" s="537"/>
      <c r="K7" s="28" t="s">
        <v>43</v>
      </c>
      <c r="L7" s="6">
        <v>5</v>
      </c>
      <c r="M7" s="3" t="s">
        <v>3</v>
      </c>
    </row>
    <row r="8" spans="1:28" x14ac:dyDescent="0.3">
      <c r="D8" s="569" t="s">
        <v>4</v>
      </c>
      <c r="E8" s="536" t="s">
        <v>20</v>
      </c>
      <c r="F8" s="117">
        <v>300</v>
      </c>
      <c r="G8" s="113" t="s">
        <v>5</v>
      </c>
      <c r="H8" s="1"/>
      <c r="I8" s="526" t="s">
        <v>35</v>
      </c>
      <c r="J8" s="537"/>
      <c r="K8" s="28" t="s">
        <v>36</v>
      </c>
      <c r="L8" s="68">
        <f>15*R18</f>
        <v>0.44999999999999996</v>
      </c>
      <c r="M8" s="3" t="s">
        <v>3</v>
      </c>
    </row>
    <row r="9" spans="1:28" x14ac:dyDescent="0.3">
      <c r="D9" s="569"/>
      <c r="E9" s="536"/>
      <c r="F9" s="115">
        <f>F8/60*F10</f>
        <v>1.5707963267948966</v>
      </c>
      <c r="G9" s="113" t="s">
        <v>6</v>
      </c>
      <c r="H9" s="1"/>
      <c r="I9" s="526" t="s">
        <v>33</v>
      </c>
      <c r="J9" s="537"/>
      <c r="K9" s="28" t="s">
        <v>34</v>
      </c>
      <c r="L9" s="104">
        <v>51</v>
      </c>
      <c r="M9" s="3" t="s">
        <v>3</v>
      </c>
      <c r="R9" s="62">
        <f>R18</f>
        <v>0.03</v>
      </c>
      <c r="S9" s="64" t="s">
        <v>3</v>
      </c>
    </row>
    <row r="10" spans="1:28" ht="16.2" customHeight="1" x14ac:dyDescent="0.3">
      <c r="D10" s="36" t="s">
        <v>2</v>
      </c>
      <c r="E10" s="37"/>
      <c r="F10" s="38">
        <f>F4*PI()/1000</f>
        <v>0.31415926535897931</v>
      </c>
      <c r="G10" s="26" t="s">
        <v>8</v>
      </c>
      <c r="H10" s="1"/>
      <c r="I10" s="526" t="s">
        <v>198</v>
      </c>
      <c r="J10" s="537"/>
      <c r="K10" s="519" t="s">
        <v>200</v>
      </c>
      <c r="L10" s="57">
        <f>L5*L4-L4*L6-L5*L7</f>
        <v>5842.0901694343947</v>
      </c>
      <c r="M10" s="559" t="s">
        <v>56</v>
      </c>
      <c r="R10" s="25">
        <f>R9+R13</f>
        <v>0.03</v>
      </c>
      <c r="S10" s="65" t="s">
        <v>3</v>
      </c>
    </row>
    <row r="11" spans="1:28" s="95" customFormat="1" x14ac:dyDescent="0.3">
      <c r="D11" s="118"/>
      <c r="E11" s="118"/>
      <c r="F11" s="11"/>
      <c r="G11" s="94"/>
      <c r="H11" s="27"/>
      <c r="I11" s="526" t="s">
        <v>199</v>
      </c>
      <c r="J11" s="537"/>
      <c r="K11" s="519"/>
      <c r="L11" s="57">
        <f>L5*L4-L4*L6-L5*L7</f>
        <v>5842.0901694343947</v>
      </c>
      <c r="M11" s="559"/>
      <c r="R11" s="25"/>
      <c r="S11" s="97"/>
    </row>
    <row r="12" spans="1:28" x14ac:dyDescent="0.3">
      <c r="D12" s="5"/>
      <c r="E12" s="5"/>
      <c r="F12" s="5"/>
      <c r="G12" s="5"/>
      <c r="H12" s="1"/>
      <c r="I12" s="526" t="s">
        <v>37</v>
      </c>
      <c r="J12" s="537"/>
      <c r="K12" s="556"/>
      <c r="L12" s="58">
        <v>75</v>
      </c>
      <c r="M12" s="3" t="s">
        <v>38</v>
      </c>
      <c r="R12" s="25">
        <f>R9-R13</f>
        <v>0.03</v>
      </c>
      <c r="S12" s="65" t="s">
        <v>3</v>
      </c>
    </row>
    <row r="13" spans="1:28" x14ac:dyDescent="0.3">
      <c r="I13" s="527"/>
      <c r="J13" s="542"/>
      <c r="K13" s="557"/>
      <c r="L13" s="59">
        <f>L12/360*2*PI()</f>
        <v>1.3089969389957472</v>
      </c>
      <c r="M13" s="26" t="s">
        <v>39</v>
      </c>
      <c r="R13" s="63">
        <v>0</v>
      </c>
      <c r="S13" s="66" t="s">
        <v>3</v>
      </c>
    </row>
    <row r="14" spans="1:28" x14ac:dyDescent="0.3">
      <c r="D14" s="560" t="s">
        <v>7</v>
      </c>
      <c r="E14" s="560"/>
      <c r="F14" s="560">
        <f>9/1000</f>
        <v>8.9999999999999993E-3</v>
      </c>
      <c r="G14" s="560" t="s">
        <v>3</v>
      </c>
      <c r="O14" s="552"/>
      <c r="P14" s="552"/>
      <c r="Q14" s="552"/>
      <c r="R14" s="552"/>
      <c r="S14" s="552"/>
    </row>
    <row r="15" spans="1:28" x14ac:dyDescent="0.3">
      <c r="D15" s="560"/>
      <c r="E15" s="560"/>
      <c r="F15" s="560"/>
      <c r="G15" s="560"/>
      <c r="M15" s="19"/>
      <c r="X15" s="12"/>
      <c r="Y15" s="12"/>
      <c r="Z15" s="12"/>
      <c r="AA15" s="12"/>
    </row>
    <row r="16" spans="1:28" x14ac:dyDescent="0.3">
      <c r="D16" s="560"/>
      <c r="E16" s="560"/>
      <c r="F16" s="560"/>
      <c r="G16" s="560"/>
      <c r="I16" s="521" t="s">
        <v>57</v>
      </c>
      <c r="J16" s="522"/>
      <c r="K16" s="522"/>
      <c r="L16" s="523"/>
      <c r="O16" s="594" t="s">
        <v>150</v>
      </c>
      <c r="P16" s="595"/>
      <c r="Q16" s="595"/>
      <c r="R16" s="595"/>
      <c r="S16" s="596"/>
      <c r="X16" s="12"/>
      <c r="Y16" s="12"/>
      <c r="Z16" s="12"/>
      <c r="AA16" s="12"/>
    </row>
    <row r="17" spans="4:27" x14ac:dyDescent="0.3">
      <c r="D17" s="560"/>
      <c r="E17" s="560"/>
      <c r="F17" s="560"/>
      <c r="G17" s="560"/>
      <c r="I17" s="526" t="s">
        <v>58</v>
      </c>
      <c r="J17" s="519" t="s">
        <v>69</v>
      </c>
      <c r="K17" s="40">
        <f>K18*10^5</f>
        <v>5000000</v>
      </c>
      <c r="L17" s="41" t="s">
        <v>75</v>
      </c>
      <c r="O17" s="597"/>
      <c r="P17" s="598"/>
      <c r="Q17" s="598"/>
      <c r="R17" s="598"/>
      <c r="S17" s="599"/>
      <c r="X17" s="12"/>
      <c r="Y17" s="12"/>
      <c r="Z17" s="12"/>
      <c r="AA17" s="12"/>
    </row>
    <row r="18" spans="4:27" x14ac:dyDescent="0.3">
      <c r="F18" s="4"/>
      <c r="I18" s="526"/>
      <c r="J18" s="519"/>
      <c r="K18" s="28">
        <v>50</v>
      </c>
      <c r="L18" s="41" t="s">
        <v>76</v>
      </c>
      <c r="O18" s="526" t="s">
        <v>48</v>
      </c>
      <c r="P18" s="537"/>
      <c r="Q18" s="28" t="s">
        <v>44</v>
      </c>
      <c r="R18" s="52">
        <v>0.03</v>
      </c>
      <c r="S18" s="3" t="s">
        <v>3</v>
      </c>
      <c r="X18" s="12"/>
      <c r="Y18" s="12"/>
      <c r="Z18" s="12"/>
      <c r="AA18" s="12"/>
    </row>
    <row r="19" spans="4:27" x14ac:dyDescent="0.3">
      <c r="D19" s="528" t="s">
        <v>21</v>
      </c>
      <c r="E19" s="529"/>
      <c r="F19" s="529"/>
      <c r="G19" s="530"/>
      <c r="I19" s="540" t="s">
        <v>121</v>
      </c>
      <c r="J19" s="551" t="s">
        <v>70</v>
      </c>
      <c r="K19" s="44">
        <f>K17*(L33/(L33+L31))</f>
        <v>4849537.3515724884</v>
      </c>
      <c r="L19" s="60" t="s">
        <v>75</v>
      </c>
      <c r="O19" s="526" t="s">
        <v>59</v>
      </c>
      <c r="P19" s="537"/>
      <c r="Q19" s="28" t="s">
        <v>62</v>
      </c>
      <c r="R19" s="101">
        <f>R18+R21</f>
        <v>0.03</v>
      </c>
      <c r="S19" s="3" t="s">
        <v>3</v>
      </c>
    </row>
    <row r="20" spans="4:27" x14ac:dyDescent="0.3">
      <c r="D20" s="531" t="s">
        <v>192</v>
      </c>
      <c r="E20" s="532"/>
      <c r="F20" s="532"/>
      <c r="G20" s="533"/>
      <c r="I20" s="527"/>
      <c r="J20" s="550"/>
      <c r="K20" s="102">
        <f>K19/10^5</f>
        <v>48.495373515724886</v>
      </c>
      <c r="L20" s="103" t="s">
        <v>76</v>
      </c>
      <c r="O20" s="526" t="s">
        <v>60</v>
      </c>
      <c r="P20" s="537"/>
      <c r="Q20" s="28" t="s">
        <v>63</v>
      </c>
      <c r="R20" s="101">
        <f>R18-R21</f>
        <v>0.03</v>
      </c>
      <c r="S20" s="3" t="s">
        <v>3</v>
      </c>
    </row>
    <row r="21" spans="4:27" x14ac:dyDescent="0.3">
      <c r="D21" s="13" t="s">
        <v>12</v>
      </c>
      <c r="E21" s="28" t="s">
        <v>13</v>
      </c>
      <c r="F21" s="10"/>
      <c r="G21" s="3"/>
      <c r="I21" s="526" t="s">
        <v>122</v>
      </c>
      <c r="J21" s="519" t="s">
        <v>71</v>
      </c>
      <c r="K21" s="40">
        <f>K17*(L35/(L35+L31))</f>
        <v>4849537.3515724884</v>
      </c>
      <c r="L21" s="48" t="s">
        <v>75</v>
      </c>
      <c r="O21" s="600" t="s">
        <v>164</v>
      </c>
      <c r="P21" s="601"/>
      <c r="Q21" s="71" t="s">
        <v>68</v>
      </c>
      <c r="R21" s="71">
        <v>0</v>
      </c>
      <c r="S21" s="70" t="s">
        <v>3</v>
      </c>
    </row>
    <row r="22" spans="4:27" x14ac:dyDescent="0.3">
      <c r="D22" s="14" t="s">
        <v>10</v>
      </c>
      <c r="E22" s="28" t="s">
        <v>9</v>
      </c>
      <c r="F22" s="28">
        <v>20</v>
      </c>
      <c r="G22" s="3" t="s">
        <v>24</v>
      </c>
      <c r="I22" s="526"/>
      <c r="J22" s="519"/>
      <c r="K22" s="57">
        <f>K21/10^5</f>
        <v>48.495373515724886</v>
      </c>
      <c r="L22" s="48" t="s">
        <v>76</v>
      </c>
      <c r="U22" s="19"/>
    </row>
    <row r="23" spans="4:27" ht="16.2" customHeight="1" x14ac:dyDescent="0.3">
      <c r="D23" s="14" t="s">
        <v>11</v>
      </c>
      <c r="E23" s="29" t="s">
        <v>26</v>
      </c>
      <c r="F23" s="35">
        <v>841.3</v>
      </c>
      <c r="G23" s="3" t="s">
        <v>27</v>
      </c>
      <c r="I23" s="540" t="s">
        <v>80</v>
      </c>
      <c r="J23" s="551" t="s">
        <v>81</v>
      </c>
      <c r="K23" s="44">
        <f>-K17*(((L33)/(L33+L31))-(L35/(L35+L31)))</f>
        <v>0</v>
      </c>
      <c r="L23" s="60" t="s">
        <v>75</v>
      </c>
      <c r="U23" s="19"/>
      <c r="V23" s="583"/>
      <c r="W23" s="519"/>
      <c r="X23" s="12"/>
      <c r="Y23" s="12"/>
      <c r="Z23" s="12"/>
      <c r="AA23" s="12"/>
    </row>
    <row r="24" spans="4:27" x14ac:dyDescent="0.3">
      <c r="D24" s="526" t="s">
        <v>28</v>
      </c>
      <c r="E24" s="524" t="s">
        <v>25</v>
      </c>
      <c r="F24" s="6">
        <v>1.7410000000000001E-5</v>
      </c>
      <c r="G24" s="3" t="s">
        <v>53</v>
      </c>
      <c r="I24" s="527"/>
      <c r="J24" s="550"/>
      <c r="K24" s="102">
        <f>K23/10^5</f>
        <v>0</v>
      </c>
      <c r="L24" s="103" t="s">
        <v>76</v>
      </c>
      <c r="V24" s="583"/>
      <c r="W24" s="519"/>
      <c r="X24" s="12"/>
      <c r="Y24" s="12"/>
      <c r="Z24" s="12"/>
      <c r="AA24" s="12"/>
    </row>
    <row r="25" spans="4:27" ht="16.2" customHeight="1" x14ac:dyDescent="0.3">
      <c r="D25" s="527"/>
      <c r="E25" s="525"/>
      <c r="F25" s="39">
        <f>F24*1000</f>
        <v>1.7410000000000002E-2</v>
      </c>
      <c r="G25" s="26" t="s">
        <v>23</v>
      </c>
      <c r="I25" s="526" t="s">
        <v>78</v>
      </c>
      <c r="J25" s="519" t="s">
        <v>79</v>
      </c>
      <c r="K25" s="28">
        <v>101325</v>
      </c>
      <c r="L25" s="3" t="s">
        <v>75</v>
      </c>
      <c r="U25" s="19"/>
      <c r="X25" s="12"/>
      <c r="Y25" s="12"/>
      <c r="Z25" s="12"/>
      <c r="AA25" s="12"/>
    </row>
    <row r="26" spans="4:27" x14ac:dyDescent="0.3">
      <c r="I26" s="527"/>
      <c r="J26" s="550"/>
      <c r="K26" s="42">
        <v>1.01325</v>
      </c>
      <c r="L26" s="26" t="s">
        <v>76</v>
      </c>
      <c r="X26" s="12"/>
      <c r="Y26" s="12"/>
      <c r="Z26" s="12"/>
      <c r="AA26" s="12"/>
    </row>
    <row r="27" spans="4:27" x14ac:dyDescent="0.3">
      <c r="X27" s="12"/>
      <c r="Y27" s="12"/>
      <c r="Z27" s="12"/>
      <c r="AA27" s="12"/>
    </row>
    <row r="28" spans="4:27" x14ac:dyDescent="0.3">
      <c r="D28" s="521" t="s">
        <v>72</v>
      </c>
      <c r="E28" s="522"/>
      <c r="F28" s="522"/>
      <c r="G28" s="523"/>
      <c r="I28" s="543" t="s">
        <v>50</v>
      </c>
      <c r="J28" s="544"/>
      <c r="K28" s="544"/>
      <c r="L28" s="544"/>
      <c r="M28" s="545"/>
      <c r="O28" s="543" t="s">
        <v>167</v>
      </c>
      <c r="P28" s="544"/>
      <c r="Q28" s="544"/>
      <c r="R28" s="544"/>
      <c r="S28" s="545"/>
      <c r="X28" s="12"/>
      <c r="Y28" s="12"/>
      <c r="Z28" s="12"/>
      <c r="AA28" s="12"/>
    </row>
    <row r="29" spans="4:27" ht="16.2" x14ac:dyDescent="0.3">
      <c r="D29" s="520" t="s">
        <v>109</v>
      </c>
      <c r="E29" s="519" t="s">
        <v>73</v>
      </c>
      <c r="F29" s="46">
        <f>(F31+F32)/100^3</f>
        <v>8.2857126644957782E-5</v>
      </c>
      <c r="G29" s="3" t="s">
        <v>74</v>
      </c>
      <c r="I29" s="546" t="s">
        <v>51</v>
      </c>
      <c r="J29" s="547"/>
      <c r="K29" s="28" t="s">
        <v>77</v>
      </c>
      <c r="L29" s="6">
        <v>200</v>
      </c>
      <c r="M29" s="3" t="s">
        <v>3</v>
      </c>
      <c r="O29" s="30" t="s">
        <v>92</v>
      </c>
      <c r="P29" s="34"/>
      <c r="Q29" s="28" t="s">
        <v>168</v>
      </c>
      <c r="R29" s="43">
        <f>K17/10^6*L10/(1+R32)</f>
        <v>28331.434487926548</v>
      </c>
      <c r="S29" s="3" t="s">
        <v>84</v>
      </c>
      <c r="T29" s="19"/>
      <c r="U29" s="19"/>
    </row>
    <row r="30" spans="4:27" ht="16.2" x14ac:dyDescent="0.3">
      <c r="D30" s="520"/>
      <c r="E30" s="519"/>
      <c r="F30" s="57">
        <f>F29*100^3</f>
        <v>82.857126644957788</v>
      </c>
      <c r="G30" s="3" t="s">
        <v>106</v>
      </c>
      <c r="I30" s="546" t="s">
        <v>95</v>
      </c>
      <c r="J30" s="547"/>
      <c r="K30" s="28" t="s">
        <v>52</v>
      </c>
      <c r="L30" s="6">
        <v>2.5</v>
      </c>
      <c r="M30" s="3" t="s">
        <v>3</v>
      </c>
      <c r="N30" s="19"/>
      <c r="O30" s="591"/>
      <c r="P30" s="592"/>
      <c r="Q30" s="592"/>
      <c r="R30" s="592"/>
      <c r="S30" s="593"/>
    </row>
    <row r="31" spans="4:27" ht="16.2" customHeight="1" x14ac:dyDescent="0.3">
      <c r="D31" s="15" t="s">
        <v>118</v>
      </c>
      <c r="E31" s="28" t="s">
        <v>117</v>
      </c>
      <c r="F31" s="57">
        <f>(K17-K19)/L31*10^6</f>
        <v>41.428563322478894</v>
      </c>
      <c r="G31" s="3" t="s">
        <v>106</v>
      </c>
      <c r="I31" s="548" t="s">
        <v>47</v>
      </c>
      <c r="J31" s="549"/>
      <c r="K31" s="519" t="s">
        <v>49</v>
      </c>
      <c r="L31" s="558">
        <f>8*F24*L29/(PI()*(L30/2)^4)*1000^4</f>
        <v>3631857741.633812</v>
      </c>
      <c r="M31" s="559" t="s">
        <v>54</v>
      </c>
      <c r="N31" s="19"/>
      <c r="O31" s="554" t="s">
        <v>165</v>
      </c>
      <c r="P31" s="76" t="s">
        <v>83</v>
      </c>
      <c r="Q31" s="77" t="s">
        <v>88</v>
      </c>
      <c r="R31" s="78">
        <f>K17/10^6*L10/(1+R32*R33^3)</f>
        <v>28331.434487926548</v>
      </c>
      <c r="S31" s="79" t="s">
        <v>84</v>
      </c>
      <c r="T31" s="20">
        <f>L10*K19/10^6</f>
        <v>28331.434487926545</v>
      </c>
      <c r="W31" s="7"/>
      <c r="X31" s="7"/>
      <c r="Y31" s="7"/>
      <c r="Z31" s="7"/>
    </row>
    <row r="32" spans="4:27" ht="16.2" x14ac:dyDescent="0.3">
      <c r="D32" s="15" t="s">
        <v>119</v>
      </c>
      <c r="E32" s="28" t="s">
        <v>120</v>
      </c>
      <c r="F32" s="57">
        <f>(K17-K21)/L31*10^6</f>
        <v>41.428563322478894</v>
      </c>
      <c r="G32" s="3" t="s">
        <v>106</v>
      </c>
      <c r="I32" s="548"/>
      <c r="J32" s="549"/>
      <c r="K32" s="519"/>
      <c r="L32" s="558"/>
      <c r="M32" s="559"/>
      <c r="O32" s="555"/>
      <c r="P32" s="50" t="s">
        <v>96</v>
      </c>
      <c r="Q32" s="29" t="s">
        <v>85</v>
      </c>
      <c r="R32" s="43">
        <f>L31/R2</f>
        <v>3.1026186112108892E-2</v>
      </c>
      <c r="S32" s="3"/>
      <c r="T32" s="20"/>
      <c r="W32" s="7"/>
    </row>
    <row r="33" spans="4:26" ht="14.4" customHeight="1" x14ac:dyDescent="0.3">
      <c r="D33" s="15"/>
      <c r="E33" s="10"/>
      <c r="F33" s="10"/>
      <c r="G33" s="16"/>
      <c r="I33" s="540" t="s">
        <v>67</v>
      </c>
      <c r="J33" s="541"/>
      <c r="K33" s="551" t="s">
        <v>64</v>
      </c>
      <c r="L33" s="538">
        <f>6*F24/PI()/R19^3*LN(L9/F5)*1000^4*360/L12</f>
        <v>117057821045.44173</v>
      </c>
      <c r="M33" s="534" t="s">
        <v>54</v>
      </c>
      <c r="N33" s="553">
        <f>6*F25/(R19/1000)^3/(L4/L6+L5/L7-3)</f>
        <v>127468317158.64337</v>
      </c>
      <c r="O33" s="555"/>
      <c r="P33" s="50" t="s">
        <v>86</v>
      </c>
      <c r="Q33" s="28" t="s">
        <v>87</v>
      </c>
      <c r="R33" s="43">
        <f>R19/R18</f>
        <v>1</v>
      </c>
      <c r="S33" s="3"/>
      <c r="T33" s="20"/>
      <c r="W33" s="7"/>
    </row>
    <row r="34" spans="4:26" ht="16.2" x14ac:dyDescent="0.3">
      <c r="D34" s="581" t="s">
        <v>125</v>
      </c>
      <c r="E34" s="519" t="s">
        <v>123</v>
      </c>
      <c r="F34" s="46">
        <f>(K19-K25)/L33</f>
        <v>4.056296545729514E-5</v>
      </c>
      <c r="G34" s="3" t="s">
        <v>74</v>
      </c>
      <c r="I34" s="527"/>
      <c r="J34" s="542"/>
      <c r="K34" s="550"/>
      <c r="L34" s="539"/>
      <c r="M34" s="535"/>
      <c r="N34" s="553"/>
      <c r="O34" s="554" t="s">
        <v>166</v>
      </c>
      <c r="P34" s="76" t="s">
        <v>83</v>
      </c>
      <c r="Q34" s="77" t="s">
        <v>172</v>
      </c>
      <c r="R34" s="78">
        <f>K17/10^6*L10/(1+R35*R36^3)</f>
        <v>28331.434487926548</v>
      </c>
      <c r="S34" s="79" t="s">
        <v>84</v>
      </c>
      <c r="T34" s="20"/>
      <c r="W34" s="7"/>
    </row>
    <row r="35" spans="4:26" ht="16.2" x14ac:dyDescent="0.3">
      <c r="D35" s="581"/>
      <c r="E35" s="519"/>
      <c r="F35" s="57">
        <f>F34*100^3</f>
        <v>40.562965457295142</v>
      </c>
      <c r="G35" s="3" t="s">
        <v>106</v>
      </c>
      <c r="I35" s="540" t="s">
        <v>66</v>
      </c>
      <c r="J35" s="541"/>
      <c r="K35" s="551" t="s">
        <v>65</v>
      </c>
      <c r="L35" s="538">
        <f>6*F24/PI()/R20^3*LN(L9/F5)*1000^4*360/L12</f>
        <v>117057821045.44173</v>
      </c>
      <c r="M35" s="534" t="s">
        <v>54</v>
      </c>
      <c r="N35" s="19"/>
      <c r="O35" s="555"/>
      <c r="P35" s="50" t="s">
        <v>96</v>
      </c>
      <c r="Q35" s="29" t="s">
        <v>85</v>
      </c>
      <c r="R35" s="43">
        <f>L31/R4</f>
        <v>3.1026186112108892E-2</v>
      </c>
      <c r="S35" s="3"/>
      <c r="T35" s="19"/>
      <c r="U35" s="19"/>
      <c r="V35" s="7"/>
      <c r="W35" s="7"/>
    </row>
    <row r="36" spans="4:26" ht="16.2" x14ac:dyDescent="0.3">
      <c r="D36" s="581"/>
      <c r="E36" s="519" t="s">
        <v>124</v>
      </c>
      <c r="F36" s="46">
        <f>(K21-K25)/L35</f>
        <v>4.056296545729514E-5</v>
      </c>
      <c r="G36" s="3" t="s">
        <v>74</v>
      </c>
      <c r="I36" s="527"/>
      <c r="J36" s="542"/>
      <c r="K36" s="550"/>
      <c r="L36" s="539"/>
      <c r="M36" s="535"/>
      <c r="O36" s="590"/>
      <c r="P36" s="51" t="s">
        <v>86</v>
      </c>
      <c r="Q36" s="42" t="s">
        <v>87</v>
      </c>
      <c r="R36" s="45">
        <f>R20/R18</f>
        <v>1</v>
      </c>
      <c r="S36" s="26"/>
      <c r="T36" s="20"/>
      <c r="U36" s="20"/>
      <c r="V36" s="7"/>
      <c r="W36" s="7"/>
    </row>
    <row r="37" spans="4:26" ht="16.2" x14ac:dyDescent="0.3">
      <c r="D37" s="612"/>
      <c r="E37" s="550"/>
      <c r="F37" s="102">
        <f>F36*100^3</f>
        <v>40.562965457295142</v>
      </c>
      <c r="G37" s="26" t="s">
        <v>106</v>
      </c>
      <c r="L37">
        <f>6*F25/(R18/1000)^3/(L4/L6+L5/L7-3)</f>
        <v>127468317158.64337</v>
      </c>
      <c r="O37" s="605" t="s">
        <v>169</v>
      </c>
      <c r="P37" s="606"/>
      <c r="Q37" s="80" t="s">
        <v>82</v>
      </c>
      <c r="R37" s="88">
        <f>IMABS(R34-R31)</f>
        <v>0</v>
      </c>
      <c r="S37" s="81" t="s">
        <v>84</v>
      </c>
      <c r="U37" s="20"/>
    </row>
    <row r="38" spans="4:26" x14ac:dyDescent="0.3">
      <c r="U38" s="19"/>
      <c r="V38" s="7"/>
      <c r="W38" s="7"/>
      <c r="X38" s="7"/>
      <c r="Y38" s="7"/>
      <c r="Z38" s="7"/>
    </row>
    <row r="39" spans="4:26" x14ac:dyDescent="0.3">
      <c r="D39" s="8" t="s">
        <v>103</v>
      </c>
      <c r="E39" s="21" t="s">
        <v>104</v>
      </c>
      <c r="F39" s="18">
        <f>K17*F29</f>
        <v>414.28563322478891</v>
      </c>
      <c r="G39" s="9" t="s">
        <v>82</v>
      </c>
      <c r="U39" s="20"/>
    </row>
    <row r="40" spans="4:26" x14ac:dyDescent="0.3">
      <c r="D40" s="32" t="s">
        <v>126</v>
      </c>
      <c r="E40" s="75" t="s">
        <v>127</v>
      </c>
      <c r="F40" s="107">
        <f>41.1*SQRT(F4/2/R18)*F25/F23/(R18/1000)/PI()/(F4/1000)</f>
        <v>3684.1979068079718</v>
      </c>
      <c r="G40" s="75" t="s">
        <v>5</v>
      </c>
      <c r="I40" s="570" t="s">
        <v>97</v>
      </c>
      <c r="J40" s="571"/>
      <c r="K40" s="571"/>
      <c r="L40" s="571"/>
      <c r="M40" s="572"/>
      <c r="O40" s="576" t="s">
        <v>89</v>
      </c>
      <c r="P40" s="577"/>
      <c r="Q40" s="577"/>
      <c r="R40" s="577"/>
      <c r="S40" s="578"/>
      <c r="T40" s="19"/>
    </row>
    <row r="41" spans="4:26" x14ac:dyDescent="0.3">
      <c r="I41" s="32" t="s">
        <v>98</v>
      </c>
      <c r="J41" s="32"/>
      <c r="K41" s="32"/>
      <c r="L41" s="32"/>
      <c r="M41" s="32"/>
      <c r="O41" s="579" t="s">
        <v>91</v>
      </c>
      <c r="P41" s="580"/>
      <c r="Q41" s="551" t="s">
        <v>90</v>
      </c>
      <c r="R41" s="82">
        <f>3*R29/R18*R32/(1+R32)</f>
        <v>85256.453336079445</v>
      </c>
      <c r="S41" s="24" t="s">
        <v>93</v>
      </c>
      <c r="T41" s="19"/>
    </row>
    <row r="42" spans="4:26" x14ac:dyDescent="0.3">
      <c r="I42" s="573" t="s">
        <v>101</v>
      </c>
      <c r="J42" s="573"/>
      <c r="K42" s="75" t="s">
        <v>102</v>
      </c>
      <c r="L42" s="75">
        <f>0.7925-1.1005/EXP(L5/L4)+0.0216/(L5/L4)+0.0153*L5/L4</f>
        <v>0.2705744030105306</v>
      </c>
      <c r="M42" s="32"/>
      <c r="O42" s="581"/>
      <c r="P42" s="582"/>
      <c r="Q42" s="519"/>
      <c r="R42" s="43">
        <f>R41/1000</f>
        <v>85.256453336079446</v>
      </c>
      <c r="S42" s="3" t="s">
        <v>94</v>
      </c>
      <c r="V42" s="20"/>
    </row>
    <row r="43" spans="4:26" x14ac:dyDescent="0.3">
      <c r="I43" s="575" t="s">
        <v>99</v>
      </c>
      <c r="J43" s="575"/>
      <c r="K43" s="75" t="s">
        <v>100</v>
      </c>
      <c r="L43" s="75">
        <f>L42*F24*L4^3*L5/R19^3/10^6</f>
        <v>11.647441100023444</v>
      </c>
      <c r="M43" s="574" t="s">
        <v>22</v>
      </c>
      <c r="O43" s="554" t="s">
        <v>165</v>
      </c>
      <c r="P43" s="580" t="s">
        <v>89</v>
      </c>
      <c r="Q43" s="551" t="s">
        <v>170</v>
      </c>
      <c r="R43" s="49">
        <f>3*R29/R18*((R32*(1+R32)*R33^2)/(1+R32*R33^3)^2)</f>
        <v>85256.453336079445</v>
      </c>
      <c r="S43" s="24" t="s">
        <v>93</v>
      </c>
      <c r="T43" s="85">
        <f>3*K17/10^6*L10*R18^3*((R20^2)/(R20^3+R18^3)^2+(R19^2)/(R19^3+R18^3)^2)</f>
        <v>1460522.5423585987</v>
      </c>
      <c r="U43" s="20"/>
      <c r="V43" s="7"/>
      <c r="W43" s="7"/>
      <c r="X43" s="7"/>
    </row>
    <row r="44" spans="4:26" x14ac:dyDescent="0.3">
      <c r="D44" s="608" t="s">
        <v>114</v>
      </c>
      <c r="E44" s="609"/>
      <c r="F44" s="609"/>
      <c r="G44" s="610"/>
      <c r="I44" s="575"/>
      <c r="J44" s="575"/>
      <c r="K44" s="75" t="s">
        <v>105</v>
      </c>
      <c r="L44" s="75">
        <f>2*F24*(L4+L5-L6-L7)*L6^3/R19^3/10^6</f>
        <v>2.5270106223182539E-2</v>
      </c>
      <c r="M44" s="574"/>
      <c r="O44" s="590"/>
      <c r="P44" s="607"/>
      <c r="Q44" s="550"/>
      <c r="R44" s="83">
        <f>R43/1000</f>
        <v>85.256453336079446</v>
      </c>
      <c r="S44" s="84" t="s">
        <v>94</v>
      </c>
      <c r="T44" s="86">
        <f>T43/1000</f>
        <v>1460.5225423585987</v>
      </c>
      <c r="U44" s="20"/>
      <c r="V44" s="7"/>
      <c r="W44" s="7"/>
      <c r="X44" s="7"/>
    </row>
    <row r="45" spans="4:26" x14ac:dyDescent="0.3">
      <c r="D45" s="602" t="s">
        <v>112</v>
      </c>
      <c r="E45" s="602" t="s">
        <v>110</v>
      </c>
      <c r="F45" s="603">
        <f>F34/F23/(L4*R19)*1000^2</f>
        <v>1.6071542239112144E-2</v>
      </c>
      <c r="G45" s="602" t="s">
        <v>6</v>
      </c>
      <c r="H45" s="19"/>
      <c r="I45" s="575"/>
      <c r="J45" s="575"/>
      <c r="K45" s="75"/>
      <c r="L45" s="75">
        <f>(3*PI()*F24*(L9^2-F5^2)^2)/2/R19^3/10^6</f>
        <v>3.0996944540993426E-2</v>
      </c>
      <c r="M45" s="574"/>
      <c r="O45" s="555" t="s">
        <v>166</v>
      </c>
      <c r="P45" s="582" t="s">
        <v>89</v>
      </c>
      <c r="Q45" s="519" t="s">
        <v>171</v>
      </c>
      <c r="R45" s="28">
        <f>3*R34/R18*((R35*(1+R35)*R36^2)/(1+R35*R36^3)^2)</f>
        <v>85256.453336079445</v>
      </c>
      <c r="S45" s="3" t="s">
        <v>93</v>
      </c>
    </row>
    <row r="46" spans="4:26" x14ac:dyDescent="0.3">
      <c r="D46" s="602"/>
      <c r="E46" s="602"/>
      <c r="F46" s="603"/>
      <c r="G46" s="602"/>
      <c r="H46" s="20"/>
      <c r="I46" s="32"/>
      <c r="J46" s="32"/>
      <c r="K46" s="32"/>
      <c r="L46" s="32"/>
      <c r="M46" s="32"/>
      <c r="O46" s="590"/>
      <c r="P46" s="607"/>
      <c r="Q46" s="550"/>
      <c r="R46" s="83">
        <f>R45/1000</f>
        <v>85.256453336079446</v>
      </c>
      <c r="S46" s="84" t="s">
        <v>94</v>
      </c>
    </row>
    <row r="47" spans="4:26" x14ac:dyDescent="0.3">
      <c r="D47" s="602" t="s">
        <v>113</v>
      </c>
      <c r="E47" s="602" t="s">
        <v>111</v>
      </c>
      <c r="F47" s="603">
        <f>F36/F23/(L4*R19)*1000^2</f>
        <v>1.6071542239112144E-2</v>
      </c>
      <c r="G47" s="602" t="s">
        <v>6</v>
      </c>
      <c r="I47" s="32"/>
      <c r="J47" s="32"/>
      <c r="K47" s="32"/>
      <c r="L47" s="32">
        <f>(3*PI()*F25*((F5/1000)^2-(L9/1000)^2)^2)/(2*(R18/1000)^3)</f>
        <v>30996.944540992874</v>
      </c>
      <c r="M47" s="32"/>
    </row>
    <row r="48" spans="4:26" x14ac:dyDescent="0.3">
      <c r="D48" s="602"/>
      <c r="E48" s="602"/>
      <c r="F48" s="603"/>
      <c r="G48" s="602"/>
      <c r="I48" s="32"/>
      <c r="J48" s="32"/>
      <c r="K48" s="32"/>
      <c r="L48" s="32"/>
      <c r="M48" s="32"/>
    </row>
    <row r="49" spans="4:13" x14ac:dyDescent="0.3">
      <c r="D49" s="72"/>
      <c r="E49" s="73" t="s">
        <v>115</v>
      </c>
      <c r="F49" s="74">
        <f>F23*F45*F51/F25</f>
        <v>4.6576387724032914E-2</v>
      </c>
      <c r="G49" s="72"/>
      <c r="I49" s="32"/>
      <c r="J49" s="32"/>
      <c r="K49" s="32"/>
      <c r="L49" s="32">
        <f>(3*PI()*F25*((F5/1000)^2-(L9/1000)^2)^2)/(2*(R18/1000)^3)</f>
        <v>30996.944540992874</v>
      </c>
      <c r="M49" s="32"/>
    </row>
    <row r="50" spans="4:13" x14ac:dyDescent="0.3">
      <c r="D50" s="72"/>
      <c r="E50" s="73" t="s">
        <v>116</v>
      </c>
      <c r="F50" s="74">
        <f>F23*F47*F52/F25</f>
        <v>4.6576387724032914E-2</v>
      </c>
      <c r="G50" s="72"/>
    </row>
    <row r="51" spans="4:13" x14ac:dyDescent="0.3">
      <c r="E51" t="s">
        <v>195</v>
      </c>
      <c r="F51" s="108">
        <f>4*(R19/1000*L5/1000)/(2*(L5+R19)/1000)</f>
        <v>5.9973049391257648E-5</v>
      </c>
      <c r="G51" s="27" t="s">
        <v>8</v>
      </c>
    </row>
    <row r="52" spans="4:13" x14ac:dyDescent="0.3">
      <c r="E52" s="91" t="s">
        <v>196</v>
      </c>
      <c r="F52" s="108">
        <f>4*(R20/1000*L5/1000)/(2*(L5+R19)/1000)</f>
        <v>5.9973049391257648E-5</v>
      </c>
      <c r="G52" s="27" t="s">
        <v>8</v>
      </c>
    </row>
    <row r="56" spans="4:13" x14ac:dyDescent="0.3">
      <c r="I56" s="611"/>
      <c r="J56" s="611"/>
      <c r="K56" s="1"/>
      <c r="L56" s="1"/>
    </row>
    <row r="57" spans="4:13" x14ac:dyDescent="0.3">
      <c r="D57" s="604" t="s">
        <v>194</v>
      </c>
      <c r="E57" s="604"/>
      <c r="F57" s="604"/>
      <c r="I57" s="611"/>
      <c r="J57" s="611"/>
      <c r="K57" s="1"/>
      <c r="L57" s="1"/>
    </row>
    <row r="58" spans="4:13" x14ac:dyDescent="0.3">
      <c r="K58" s="1"/>
    </row>
    <row r="59" spans="4:13" x14ac:dyDescent="0.3">
      <c r="L59" s="1"/>
    </row>
    <row r="60" spans="4:13" x14ac:dyDescent="0.3">
      <c r="K60" s="1"/>
      <c r="L60" s="20"/>
    </row>
    <row r="61" spans="4:13" x14ac:dyDescent="0.3">
      <c r="K61" s="1"/>
      <c r="L61" s="1"/>
    </row>
    <row r="62" spans="4:13" x14ac:dyDescent="0.3">
      <c r="K62" s="1"/>
      <c r="L62" s="1"/>
    </row>
    <row r="69" spans="4:6" x14ac:dyDescent="0.3">
      <c r="D69" s="27"/>
      <c r="E69" s="108"/>
      <c r="F69" s="27"/>
    </row>
  </sheetData>
  <mergeCells count="103">
    <mergeCell ref="D47:D48"/>
    <mergeCell ref="E47:E48"/>
    <mergeCell ref="F47:F48"/>
    <mergeCell ref="G47:G48"/>
    <mergeCell ref="D57:F57"/>
    <mergeCell ref="O37:P37"/>
    <mergeCell ref="O45:O46"/>
    <mergeCell ref="P45:P46"/>
    <mergeCell ref="O43:O44"/>
    <mergeCell ref="P43:P44"/>
    <mergeCell ref="D44:G44"/>
    <mergeCell ref="E45:E46"/>
    <mergeCell ref="D45:D46"/>
    <mergeCell ref="F45:F46"/>
    <mergeCell ref="G45:G46"/>
    <mergeCell ref="I56:J56"/>
    <mergeCell ref="I57:J57"/>
    <mergeCell ref="D34:D37"/>
    <mergeCell ref="E34:E35"/>
    <mergeCell ref="E36:E37"/>
    <mergeCell ref="K35:K36"/>
    <mergeCell ref="I35:J36"/>
    <mergeCell ref="K33:K34"/>
    <mergeCell ref="L35:L36"/>
    <mergeCell ref="V23:V24"/>
    <mergeCell ref="W23:W24"/>
    <mergeCell ref="R2:R3"/>
    <mergeCell ref="S2:S3"/>
    <mergeCell ref="R4:R5"/>
    <mergeCell ref="S4:S5"/>
    <mergeCell ref="O34:O36"/>
    <mergeCell ref="O30:S30"/>
    <mergeCell ref="O20:P20"/>
    <mergeCell ref="O16:S17"/>
    <mergeCell ref="O21:P21"/>
    <mergeCell ref="O28:S28"/>
    <mergeCell ref="O19:P19"/>
    <mergeCell ref="Q45:Q46"/>
    <mergeCell ref="Q41:Q42"/>
    <mergeCell ref="I40:M40"/>
    <mergeCell ref="I42:J42"/>
    <mergeCell ref="Q43:Q44"/>
    <mergeCell ref="M43:M45"/>
    <mergeCell ref="I44:J44"/>
    <mergeCell ref="I45:J45"/>
    <mergeCell ref="I43:J43"/>
    <mergeCell ref="O40:S40"/>
    <mergeCell ref="O41:P42"/>
    <mergeCell ref="I25:I26"/>
    <mergeCell ref="D14:E17"/>
    <mergeCell ref="F14:F17"/>
    <mergeCell ref="G14:G17"/>
    <mergeCell ref="I16:L16"/>
    <mergeCell ref="I1:M2"/>
    <mergeCell ref="D1:G2"/>
    <mergeCell ref="I4:J4"/>
    <mergeCell ref="I9:J9"/>
    <mergeCell ref="I5:J5"/>
    <mergeCell ref="I3:J3"/>
    <mergeCell ref="I8:J8"/>
    <mergeCell ref="I6:J7"/>
    <mergeCell ref="D8:D9"/>
    <mergeCell ref="I17:I18"/>
    <mergeCell ref="J17:J18"/>
    <mergeCell ref="I19:I20"/>
    <mergeCell ref="I11:J11"/>
    <mergeCell ref="K10:K11"/>
    <mergeCell ref="M10:M11"/>
    <mergeCell ref="J19:J20"/>
    <mergeCell ref="M35:M36"/>
    <mergeCell ref="E8:E9"/>
    <mergeCell ref="K31:K32"/>
    <mergeCell ref="O18:P18"/>
    <mergeCell ref="L33:L34"/>
    <mergeCell ref="M33:M34"/>
    <mergeCell ref="I33:J34"/>
    <mergeCell ref="I10:J10"/>
    <mergeCell ref="I28:M28"/>
    <mergeCell ref="I30:J30"/>
    <mergeCell ref="I31:J32"/>
    <mergeCell ref="J25:J26"/>
    <mergeCell ref="I21:I22"/>
    <mergeCell ref="J21:J22"/>
    <mergeCell ref="I23:I24"/>
    <mergeCell ref="J23:J24"/>
    <mergeCell ref="O14:S14"/>
    <mergeCell ref="N33:N34"/>
    <mergeCell ref="O31:O33"/>
    <mergeCell ref="I12:J13"/>
    <mergeCell ref="K12:K13"/>
    <mergeCell ref="I29:J29"/>
    <mergeCell ref="L31:L32"/>
    <mergeCell ref="M31:M32"/>
    <mergeCell ref="A4:B4"/>
    <mergeCell ref="A5:B5"/>
    <mergeCell ref="A6:B6"/>
    <mergeCell ref="E29:E30"/>
    <mergeCell ref="D29:D30"/>
    <mergeCell ref="D28:G28"/>
    <mergeCell ref="E24:E25"/>
    <mergeCell ref="D24:D25"/>
    <mergeCell ref="D19:G19"/>
    <mergeCell ref="D20:G20"/>
  </mergeCells>
  <conditionalFormatting sqref="R9">
    <cfRule type="cellIs" dxfId="4" priority="2" operator="lessThan">
      <formula>$F$16</formula>
    </cfRule>
  </conditionalFormatting>
  <conditionalFormatting sqref="R18">
    <cfRule type="cellIs" dxfId="3" priority="1" operator="lessThan">
      <formula>$F$14</formula>
    </cfRule>
  </conditionalFormatting>
  <hyperlinks>
    <hyperlink ref="AB1" r:id="rId1" xr:uid="{06EAA51F-4633-43AE-9526-CFDDC6938E84}"/>
  </hyperlinks>
  <pageMargins left="0.7" right="0.7" top="0.75" bottom="0.75" header="0.3" footer="0.3"/>
  <pageSetup paperSize="9" orientation="portrait" horizontalDpi="4294967293" verticalDpi="4294967293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B0C11-B3C5-49D3-B9F7-E04AFEF40C5C}">
  <sheetPr>
    <tabColor theme="4" tint="0.59999389629810485"/>
  </sheetPr>
  <dimension ref="A1:BG111"/>
  <sheetViews>
    <sheetView tabSelected="1" topLeftCell="D4" zoomScale="70" zoomScaleNormal="70" workbookViewId="0">
      <selection activeCell="H53" sqref="H53:H55"/>
    </sheetView>
  </sheetViews>
  <sheetFormatPr defaultRowHeight="14.4" x14ac:dyDescent="0.3"/>
  <cols>
    <col min="2" max="2" width="10" customWidth="1"/>
    <col min="4" max="4" width="17.6640625" bestFit="1" customWidth="1"/>
    <col min="5" max="5" width="10.77734375" customWidth="1"/>
    <col min="6" max="6" width="11" bestFit="1" customWidth="1"/>
    <col min="9" max="9" width="19" customWidth="1"/>
    <col min="10" max="10" width="10" bestFit="1" customWidth="1"/>
    <col min="11" max="11" width="12.44140625" bestFit="1" customWidth="1"/>
    <col min="13" max="13" width="9.109375" bestFit="1" customWidth="1"/>
    <col min="14" max="14" width="12.5546875" customWidth="1"/>
    <col min="15" max="15" width="15.44140625" bestFit="1" customWidth="1"/>
    <col min="16" max="16" width="14.88671875" bestFit="1" customWidth="1"/>
    <col min="17" max="17" width="11.5546875" bestFit="1" customWidth="1"/>
    <col min="18" max="18" width="13.109375" customWidth="1"/>
    <col min="19" max="19" width="7.21875" bestFit="1" customWidth="1"/>
    <col min="20" max="20" width="8.21875" customWidth="1"/>
    <col min="21" max="21" width="14.5546875" style="305" customWidth="1"/>
    <col min="22" max="22" width="14.5546875" customWidth="1"/>
    <col min="23" max="23" width="14.5546875" style="127" customWidth="1"/>
    <col min="24" max="24" width="12" bestFit="1" customWidth="1"/>
    <col min="25" max="25" width="12.21875" customWidth="1"/>
    <col min="26" max="26" width="20.77734375" bestFit="1" customWidth="1"/>
    <col min="27" max="27" width="9.44140625" customWidth="1"/>
    <col min="28" max="28" width="9.44140625" style="348" customWidth="1"/>
    <col min="29" max="34" width="9.44140625" style="309" customWidth="1"/>
    <col min="35" max="35" width="9.44140625" style="188" customWidth="1"/>
    <col min="36" max="36" width="11.33203125" bestFit="1" customWidth="1"/>
    <col min="39" max="39" width="8.88671875" style="172"/>
    <col min="40" max="42" width="8.88671875" style="226"/>
    <col min="43" max="43" width="9.6640625" bestFit="1" customWidth="1"/>
  </cols>
  <sheetData>
    <row r="1" spans="1:59" ht="14.4" customHeight="1" x14ac:dyDescent="0.3">
      <c r="D1" s="561" t="s">
        <v>0</v>
      </c>
      <c r="E1" s="562"/>
      <c r="F1" s="562"/>
      <c r="G1" s="565"/>
      <c r="H1" s="27"/>
      <c r="I1" s="561" t="s">
        <v>32</v>
      </c>
      <c r="J1" s="562"/>
      <c r="K1" s="562"/>
      <c r="L1" s="562"/>
      <c r="M1" s="562"/>
      <c r="R1" s="584">
        <f>6*F26/(R9/1000)^3/(L4/L6+L5/L7-3)</f>
        <v>470316311560.01147</v>
      </c>
      <c r="S1" s="586" t="s">
        <v>54</v>
      </c>
      <c r="V1" s="33" t="s">
        <v>1</v>
      </c>
      <c r="W1" s="124"/>
      <c r="AI1" s="710"/>
      <c r="AJ1" s="710"/>
      <c r="AK1" s="710"/>
      <c r="AL1" s="710"/>
      <c r="AM1" s="710"/>
      <c r="AN1" s="284"/>
      <c r="AO1" s="284"/>
      <c r="AP1" s="284"/>
      <c r="AQ1" s="722" t="s">
        <v>293</v>
      </c>
      <c r="AR1" s="722"/>
      <c r="AS1" s="722"/>
      <c r="AT1" s="722"/>
    </row>
    <row r="2" spans="1:59" ht="14.4" customHeight="1" thickBot="1" x14ac:dyDescent="0.35">
      <c r="D2" s="563"/>
      <c r="E2" s="564"/>
      <c r="F2" s="564"/>
      <c r="G2" s="566"/>
      <c r="H2" s="27"/>
      <c r="I2" s="563"/>
      <c r="J2" s="564"/>
      <c r="K2" s="564"/>
      <c r="L2" s="564"/>
      <c r="M2" s="564"/>
      <c r="R2" s="585"/>
      <c r="S2" s="587"/>
      <c r="AI2" s="710"/>
      <c r="AJ2" s="710"/>
      <c r="AK2" s="710"/>
      <c r="AL2" s="710"/>
      <c r="AM2" s="710"/>
      <c r="AN2" s="284"/>
      <c r="AO2" s="284"/>
      <c r="AP2" s="284"/>
      <c r="AQ2" s="722"/>
      <c r="AR2" s="722"/>
      <c r="AS2" s="722"/>
      <c r="AT2" s="722"/>
      <c r="AU2" s="172"/>
    </row>
    <row r="3" spans="1:59" x14ac:dyDescent="0.3">
      <c r="D3" s="2" t="s">
        <v>12</v>
      </c>
      <c r="E3" s="28" t="s">
        <v>13</v>
      </c>
      <c r="F3" s="10"/>
      <c r="G3" s="3" t="s">
        <v>14</v>
      </c>
      <c r="H3" s="27"/>
      <c r="I3" s="567"/>
      <c r="J3" s="568"/>
      <c r="N3" s="305" t="s">
        <v>249</v>
      </c>
      <c r="R3" s="585">
        <f>6*F26/(R10/1000)^3/(L4/L6+L5/L7-3)</f>
        <v>470316311560.01147</v>
      </c>
      <c r="S3" s="587" t="s">
        <v>54</v>
      </c>
      <c r="AJ3" s="651" t="s">
        <v>290</v>
      </c>
      <c r="AK3" s="652"/>
      <c r="AL3" s="653"/>
      <c r="AM3" s="647"/>
      <c r="AN3" s="27"/>
      <c r="AU3" s="172"/>
    </row>
    <row r="4" spans="1:59" x14ac:dyDescent="0.3">
      <c r="A4" s="516" t="s">
        <v>236</v>
      </c>
      <c r="B4" s="516"/>
      <c r="D4" s="30" t="s">
        <v>15</v>
      </c>
      <c r="E4" s="11" t="s">
        <v>16</v>
      </c>
      <c r="F4" s="28">
        <v>100</v>
      </c>
      <c r="G4" s="3" t="s">
        <v>3</v>
      </c>
      <c r="H4" s="27"/>
      <c r="I4" s="526" t="s">
        <v>202</v>
      </c>
      <c r="J4" s="537"/>
      <c r="K4" s="28" t="s">
        <v>31</v>
      </c>
      <c r="L4" s="171">
        <v>100</v>
      </c>
      <c r="M4" s="3" t="s">
        <v>3</v>
      </c>
      <c r="N4" s="27"/>
      <c r="R4" s="585"/>
      <c r="S4" s="587"/>
      <c r="AJ4" s="238" t="s">
        <v>262</v>
      </c>
      <c r="AK4" s="244" t="s">
        <v>263</v>
      </c>
      <c r="AL4" s="251" t="s">
        <v>286</v>
      </c>
      <c r="AM4" s="647"/>
      <c r="AN4" s="27"/>
      <c r="AU4" s="172"/>
    </row>
    <row r="5" spans="1:59" ht="15" thickBot="1" x14ac:dyDescent="0.35">
      <c r="A5" s="726" t="s">
        <v>46</v>
      </c>
      <c r="B5" s="726"/>
      <c r="D5" s="14" t="s">
        <v>107</v>
      </c>
      <c r="E5" s="28" t="s">
        <v>108</v>
      </c>
      <c r="F5" s="28">
        <f>F4/2</f>
        <v>50</v>
      </c>
      <c r="G5" s="90" t="s">
        <v>3</v>
      </c>
      <c r="H5" s="27"/>
      <c r="I5" s="546" t="s">
        <v>201</v>
      </c>
      <c r="J5" s="547"/>
      <c r="K5" s="28" t="s">
        <v>30</v>
      </c>
      <c r="L5" s="57">
        <f>L13*L9</f>
        <v>96.050704725003939</v>
      </c>
      <c r="M5" s="3" t="str">
        <f>G6</f>
        <v>mm</v>
      </c>
      <c r="N5" s="27"/>
      <c r="R5" s="585">
        <f>6*F26/(R12/1000)^3/(L4/L6+L5/L7-3)</f>
        <v>470316311560.01147</v>
      </c>
      <c r="S5" s="587" t="s">
        <v>54</v>
      </c>
      <c r="W5" s="592" t="s">
        <v>367</v>
      </c>
      <c r="X5" s="592"/>
      <c r="Y5" s="592"/>
      <c r="Z5" s="592"/>
      <c r="AJ5" s="231">
        <v>4354</v>
      </c>
      <c r="AK5" s="134">
        <v>3379.76</v>
      </c>
      <c r="AL5" s="232">
        <v>974.46</v>
      </c>
      <c r="AM5" s="647"/>
    </row>
    <row r="6" spans="1:59" ht="14.4" customHeight="1" x14ac:dyDescent="0.3">
      <c r="A6" s="518" t="s">
        <v>61</v>
      </c>
      <c r="B6" s="518"/>
      <c r="D6" s="30" t="s">
        <v>17</v>
      </c>
      <c r="E6" s="11" t="s">
        <v>18</v>
      </c>
      <c r="F6" s="28">
        <v>100</v>
      </c>
      <c r="G6" s="3" t="s">
        <v>3</v>
      </c>
      <c r="H6" s="27"/>
      <c r="I6" s="526" t="s">
        <v>203</v>
      </c>
      <c r="J6" s="537"/>
      <c r="K6" s="28" t="s">
        <v>42</v>
      </c>
      <c r="L6" s="104">
        <f>RADIANS(N6)*L9</f>
        <v>17.463764495455262</v>
      </c>
      <c r="M6" s="3" t="s">
        <v>3</v>
      </c>
      <c r="N6" s="636">
        <v>20</v>
      </c>
      <c r="R6" s="588"/>
      <c r="S6" s="589"/>
      <c r="W6" s="567" t="s">
        <v>368</v>
      </c>
      <c r="X6" s="643"/>
      <c r="Y6" s="568" t="s">
        <v>369</v>
      </c>
      <c r="Z6" s="643"/>
      <c r="AD6" s="630" t="s">
        <v>305</v>
      </c>
      <c r="AE6" s="631"/>
      <c r="AF6" s="631"/>
      <c r="AG6" s="632"/>
      <c r="AH6" s="341"/>
      <c r="AJ6" s="231">
        <v>2467</v>
      </c>
      <c r="AK6" s="134">
        <v>1533</v>
      </c>
      <c r="AL6" s="232">
        <v>934</v>
      </c>
      <c r="AM6" s="647"/>
    </row>
    <row r="7" spans="1:59" x14ac:dyDescent="0.3">
      <c r="A7" s="711" t="s">
        <v>301</v>
      </c>
      <c r="B7" s="712"/>
      <c r="D7" s="30" t="s">
        <v>19</v>
      </c>
      <c r="E7" s="11"/>
      <c r="F7" s="28">
        <v>3</v>
      </c>
      <c r="G7" s="3"/>
      <c r="H7" s="27"/>
      <c r="I7" s="526"/>
      <c r="J7" s="537"/>
      <c r="K7" s="28" t="s">
        <v>43</v>
      </c>
      <c r="L7" s="104">
        <f>RADIANS(N6)*L9</f>
        <v>17.463764495455262</v>
      </c>
      <c r="M7" s="3" t="s">
        <v>3</v>
      </c>
      <c r="N7" s="636"/>
      <c r="W7" s="212" t="s">
        <v>262</v>
      </c>
      <c r="X7" s="403" t="s">
        <v>346</v>
      </c>
      <c r="Y7" s="212" t="s">
        <v>310</v>
      </c>
      <c r="Z7" s="407" t="s">
        <v>316</v>
      </c>
      <c r="AA7" s="336" t="s">
        <v>352</v>
      </c>
      <c r="AD7" s="633" t="s">
        <v>296</v>
      </c>
      <c r="AE7" s="634"/>
      <c r="AF7" s="634"/>
      <c r="AG7" s="635"/>
      <c r="AH7" s="7"/>
      <c r="AJ7" s="231">
        <v>1789.3</v>
      </c>
      <c r="AK7" s="134">
        <v>923.25</v>
      </c>
      <c r="AL7" s="232">
        <v>866.05</v>
      </c>
      <c r="AM7" s="647"/>
    </row>
    <row r="8" spans="1:59" x14ac:dyDescent="0.3">
      <c r="D8" s="701" t="s">
        <v>4</v>
      </c>
      <c r="E8" s="519" t="s">
        <v>20</v>
      </c>
      <c r="F8" s="28">
        <f>Z47</f>
        <v>300</v>
      </c>
      <c r="G8" s="3" t="s">
        <v>5</v>
      </c>
      <c r="H8" s="27"/>
      <c r="I8" s="526" t="s">
        <v>35</v>
      </c>
      <c r="J8" s="537"/>
      <c r="K8" s="28" t="s">
        <v>36</v>
      </c>
      <c r="L8" s="68">
        <f>15*R18</f>
        <v>0.44999999999999996</v>
      </c>
      <c r="M8" s="3" t="s">
        <v>3</v>
      </c>
      <c r="R8" s="62">
        <f>R18</f>
        <v>0.03</v>
      </c>
      <c r="S8" s="64" t="s">
        <v>3</v>
      </c>
      <c r="W8" s="392">
        <v>987.21</v>
      </c>
      <c r="X8" s="404">
        <v>609</v>
      </c>
      <c r="Y8" s="392">
        <v>2.4</v>
      </c>
      <c r="Z8" s="404">
        <v>428.6</v>
      </c>
      <c r="AA8" s="18">
        <f>0.001/0.03</f>
        <v>3.3333333333333333E-2</v>
      </c>
      <c r="AD8" s="362" t="s">
        <v>316</v>
      </c>
      <c r="AE8" s="130" t="s">
        <v>246</v>
      </c>
      <c r="AF8" s="335" t="s">
        <v>168</v>
      </c>
      <c r="AG8" s="367" t="s">
        <v>347</v>
      </c>
      <c r="AH8" s="341"/>
      <c r="AJ8" s="231">
        <v>1405</v>
      </c>
      <c r="AK8" s="134">
        <v>623</v>
      </c>
      <c r="AL8" s="232">
        <v>781.86</v>
      </c>
      <c r="AM8" s="647"/>
      <c r="AU8" s="172"/>
    </row>
    <row r="9" spans="1:59" x14ac:dyDescent="0.3">
      <c r="D9" s="701"/>
      <c r="E9" s="519"/>
      <c r="F9" s="93">
        <f>F8/60</f>
        <v>5</v>
      </c>
      <c r="G9" s="3" t="s">
        <v>177</v>
      </c>
      <c r="H9" s="27"/>
      <c r="I9" s="526" t="s">
        <v>204</v>
      </c>
      <c r="J9" s="537"/>
      <c r="K9" s="28" t="s">
        <v>289</v>
      </c>
      <c r="L9" s="57">
        <f>F5+R18</f>
        <v>50.03</v>
      </c>
      <c r="M9" s="3" t="s">
        <v>3</v>
      </c>
      <c r="R9" s="25">
        <f>R8+R13</f>
        <v>0.03</v>
      </c>
      <c r="S9" s="65" t="s">
        <v>3</v>
      </c>
      <c r="W9" s="390">
        <v>1141</v>
      </c>
      <c r="X9" s="405">
        <v>668</v>
      </c>
      <c r="Y9" s="390">
        <v>59.56</v>
      </c>
      <c r="Z9" s="405">
        <v>504.5</v>
      </c>
      <c r="AA9" s="18">
        <f>0.005/0.03</f>
        <v>0.16666666666666669</v>
      </c>
      <c r="AD9" s="362">
        <v>322.3</v>
      </c>
      <c r="AE9" s="130">
        <v>161.15</v>
      </c>
      <c r="AF9" s="335">
        <v>26981</v>
      </c>
      <c r="AG9" s="367">
        <v>0.01</v>
      </c>
      <c r="AH9" s="341"/>
      <c r="AJ9" s="252">
        <v>1144</v>
      </c>
      <c r="AK9" s="250">
        <v>448</v>
      </c>
      <c r="AL9" s="253">
        <v>695.95</v>
      </c>
      <c r="AM9" s="647"/>
    </row>
    <row r="10" spans="1:59" ht="16.2" customHeight="1" x14ac:dyDescent="0.3">
      <c r="D10" s="701"/>
      <c r="E10" s="519"/>
      <c r="F10" s="17">
        <f>F8/60*F12</f>
        <v>1.5707963267948966</v>
      </c>
      <c r="G10" s="48" t="s">
        <v>6</v>
      </c>
      <c r="H10" s="27"/>
      <c r="I10" s="526" t="s">
        <v>242</v>
      </c>
      <c r="J10" s="537"/>
      <c r="K10" s="519" t="s">
        <v>55</v>
      </c>
      <c r="L10" s="57">
        <f>L5*L4-L4*L6-L5*L7</f>
        <v>6181.2871360148874</v>
      </c>
      <c r="M10" s="559" t="s">
        <v>56</v>
      </c>
      <c r="N10">
        <f>8*78.5</f>
        <v>628</v>
      </c>
      <c r="R10" s="25">
        <f>R8-R13</f>
        <v>0.03</v>
      </c>
      <c r="S10" s="65" t="s">
        <v>3</v>
      </c>
      <c r="W10" s="390">
        <v>1392.61</v>
      </c>
      <c r="X10" s="405">
        <v>750.8</v>
      </c>
      <c r="Y10" s="390">
        <v>227</v>
      </c>
      <c r="Z10" s="405">
        <v>668.72</v>
      </c>
      <c r="AA10" s="18">
        <f>0.01/0.03</f>
        <v>0.33333333333333337</v>
      </c>
      <c r="AD10" s="362">
        <v>661.17</v>
      </c>
      <c r="AE10" s="130">
        <v>330.59</v>
      </c>
      <c r="AF10" s="335">
        <v>25765</v>
      </c>
      <c r="AG10" s="367">
        <v>1.4999999999999999E-2</v>
      </c>
      <c r="AH10" s="341"/>
      <c r="AJ10" s="23"/>
      <c r="AK10" s="130"/>
      <c r="AL10" s="123"/>
      <c r="AM10" s="647"/>
      <c r="AQ10" s="95"/>
      <c r="AS10" s="716" t="s">
        <v>305</v>
      </c>
      <c r="AT10" s="717"/>
      <c r="AU10" s="717"/>
      <c r="AV10" s="717"/>
      <c r="AW10" s="717"/>
      <c r="AX10" s="717"/>
      <c r="AY10" s="718"/>
      <c r="BB10" s="20"/>
    </row>
    <row r="11" spans="1:59" s="95" customFormat="1" x14ac:dyDescent="0.3">
      <c r="D11" s="106"/>
      <c r="E11" s="94"/>
      <c r="F11" s="17"/>
      <c r="G11" s="48"/>
      <c r="H11" s="27"/>
      <c r="I11" s="526"/>
      <c r="J11" s="537"/>
      <c r="K11" s="519"/>
      <c r="L11" s="57">
        <f>L5*L4-L4*L6-L5*L7</f>
        <v>6181.2871360148874</v>
      </c>
      <c r="M11" s="559"/>
      <c r="R11" s="25"/>
      <c r="S11" s="97"/>
      <c r="U11" s="305"/>
      <c r="W11" s="390">
        <v>1744</v>
      </c>
      <c r="X11" s="405">
        <v>831.6</v>
      </c>
      <c r="Y11" s="390">
        <v>450.8</v>
      </c>
      <c r="Z11" s="405">
        <v>880.7</v>
      </c>
      <c r="AA11" s="18">
        <f>0.015/0.03</f>
        <v>0.5</v>
      </c>
      <c r="AB11" s="348"/>
      <c r="AC11" s="309"/>
      <c r="AD11" s="362">
        <v>993.15</v>
      </c>
      <c r="AE11" s="130">
        <v>496.57</v>
      </c>
      <c r="AF11" s="335">
        <v>23685</v>
      </c>
      <c r="AG11" s="367">
        <v>0.02</v>
      </c>
      <c r="AH11" s="341"/>
      <c r="AI11" s="188"/>
      <c r="AJ11" s="648" t="s">
        <v>291</v>
      </c>
      <c r="AK11" s="649"/>
      <c r="AL11" s="650"/>
      <c r="AM11" s="647"/>
      <c r="AQ11" s="634" t="s">
        <v>296</v>
      </c>
      <c r="AR11" s="634"/>
      <c r="AS11" s="634"/>
      <c r="AT11" s="634"/>
      <c r="AU11" s="667"/>
      <c r="AV11" s="273"/>
      <c r="AW11" s="719" t="s">
        <v>297</v>
      </c>
      <c r="AX11" s="720"/>
      <c r="AY11" s="721"/>
      <c r="AZ11"/>
    </row>
    <row r="12" spans="1:59" x14ac:dyDescent="0.3">
      <c r="D12" s="36" t="s">
        <v>2</v>
      </c>
      <c r="E12" s="37"/>
      <c r="F12" s="67">
        <f>F4*PI()/1000</f>
        <v>0.31415926535897931</v>
      </c>
      <c r="G12" s="26" t="s">
        <v>8</v>
      </c>
      <c r="H12" s="27"/>
      <c r="I12" s="526" t="s">
        <v>205</v>
      </c>
      <c r="J12" s="537"/>
      <c r="K12" s="519"/>
      <c r="L12" s="6">
        <v>110</v>
      </c>
      <c r="M12" s="3" t="s">
        <v>38</v>
      </c>
      <c r="N12" s="310"/>
      <c r="R12" s="25">
        <f>R8-R13</f>
        <v>0.03</v>
      </c>
      <c r="S12" s="65" t="s">
        <v>3</v>
      </c>
      <c r="W12" s="390">
        <v>2340</v>
      </c>
      <c r="X12" s="405">
        <v>897</v>
      </c>
      <c r="Y12" s="390">
        <v>641</v>
      </c>
      <c r="Z12" s="405">
        <v>1083</v>
      </c>
      <c r="AA12" s="18">
        <f>0.02/0.03</f>
        <v>0.66666666666666674</v>
      </c>
      <c r="AD12" s="362">
        <v>1208.43</v>
      </c>
      <c r="AE12" s="130">
        <v>604.22</v>
      </c>
      <c r="AF12" s="335">
        <v>20903</v>
      </c>
      <c r="AG12" s="367">
        <v>2.5000000000000001E-2</v>
      </c>
      <c r="AH12" s="341"/>
      <c r="AJ12" s="238" t="s">
        <v>262</v>
      </c>
      <c r="AK12" s="244" t="s">
        <v>263</v>
      </c>
      <c r="AL12" s="251" t="s">
        <v>286</v>
      </c>
      <c r="AM12" s="647"/>
      <c r="AQ12" s="136" t="s">
        <v>306</v>
      </c>
      <c r="AR12" s="221" t="s">
        <v>149</v>
      </c>
      <c r="AS12" s="212" t="s">
        <v>245</v>
      </c>
      <c r="AT12" s="136" t="s">
        <v>246</v>
      </c>
      <c r="AU12" s="278"/>
      <c r="AV12" s="81" t="s">
        <v>247</v>
      </c>
      <c r="AW12" s="212" t="s">
        <v>248</v>
      </c>
      <c r="AX12" s="213" t="s">
        <v>245</v>
      </c>
      <c r="AY12" s="137" t="s">
        <v>246</v>
      </c>
      <c r="AZ12" s="201"/>
    </row>
    <row r="13" spans="1:59" x14ac:dyDescent="0.3">
      <c r="I13" s="527"/>
      <c r="J13" s="542"/>
      <c r="K13" s="550"/>
      <c r="L13" s="61">
        <f>L12/360*2*PI()</f>
        <v>1.9198621771937625</v>
      </c>
      <c r="M13" s="26" t="s">
        <v>39</v>
      </c>
      <c r="N13" s="20"/>
      <c r="R13" s="63">
        <v>0</v>
      </c>
      <c r="S13" s="66" t="s">
        <v>3</v>
      </c>
      <c r="W13" s="390">
        <v>3986</v>
      </c>
      <c r="X13" s="405">
        <v>935</v>
      </c>
      <c r="Y13" s="390">
        <v>726.7</v>
      </c>
      <c r="Z13" s="405">
        <v>1219</v>
      </c>
      <c r="AA13" s="18">
        <f>0.025/0.03</f>
        <v>0.83333333333333337</v>
      </c>
      <c r="AD13" s="362">
        <v>1259.7</v>
      </c>
      <c r="AE13" s="130">
        <v>629.85</v>
      </c>
      <c r="AF13" s="335">
        <v>17786</v>
      </c>
      <c r="AG13" s="367">
        <v>0.03</v>
      </c>
      <c r="AH13" s="341"/>
      <c r="AJ13" s="233">
        <v>3066</v>
      </c>
      <c r="AK13" s="236">
        <v>4032</v>
      </c>
      <c r="AL13" s="234">
        <v>966</v>
      </c>
      <c r="AM13" s="647"/>
      <c r="AV13">
        <v>5.0000000000000001E-3</v>
      </c>
      <c r="AZ13" s="201"/>
    </row>
    <row r="14" spans="1:59" x14ac:dyDescent="0.3">
      <c r="D14" s="560" t="s">
        <v>7</v>
      </c>
      <c r="E14" s="560"/>
      <c r="F14" s="560">
        <f>7/1000</f>
        <v>7.0000000000000001E-3</v>
      </c>
      <c r="G14" s="560" t="s">
        <v>3</v>
      </c>
      <c r="O14" s="552"/>
      <c r="P14" s="552"/>
      <c r="Q14" s="552"/>
      <c r="R14" s="552"/>
      <c r="S14" s="552"/>
      <c r="W14" s="390">
        <v>2605.6799999999998</v>
      </c>
      <c r="X14" s="405">
        <v>928</v>
      </c>
      <c r="Y14" s="390">
        <v>608.55999999999995</v>
      </c>
      <c r="Z14" s="405">
        <v>1214</v>
      </c>
      <c r="AA14" s="388">
        <f>0.035/0.03</f>
        <v>1.1666666666666667</v>
      </c>
      <c r="AD14" s="362">
        <v>1174.6400000000001</v>
      </c>
      <c r="AE14" s="130">
        <v>587.32000000000005</v>
      </c>
      <c r="AF14" s="335">
        <v>14723</v>
      </c>
      <c r="AG14" s="367">
        <v>3.5000000000000003E-2</v>
      </c>
      <c r="AH14" s="341"/>
      <c r="AJ14" s="233">
        <v>1247</v>
      </c>
      <c r="AK14" s="236">
        <v>2177</v>
      </c>
      <c r="AL14" s="234">
        <v>930</v>
      </c>
      <c r="AM14" s="647"/>
      <c r="AQ14" s="220">
        <v>655.95</v>
      </c>
      <c r="AR14" s="225">
        <v>0</v>
      </c>
      <c r="AS14" s="205"/>
      <c r="AT14" s="208"/>
      <c r="AU14" s="202"/>
      <c r="AV14" s="79">
        <v>0.01</v>
      </c>
      <c r="AW14" s="197">
        <v>49.18</v>
      </c>
      <c r="AX14" s="200">
        <f>30495/1000</f>
        <v>30.495000000000001</v>
      </c>
      <c r="AY14" s="268">
        <v>150.83000000000001</v>
      </c>
      <c r="AZ14" s="201"/>
    </row>
    <row r="15" spans="1:59" s="201" customFormat="1" x14ac:dyDescent="0.3">
      <c r="D15" s="560"/>
      <c r="E15" s="560"/>
      <c r="F15" s="560"/>
      <c r="G15" s="560"/>
      <c r="I15" s="521" t="s">
        <v>57</v>
      </c>
      <c r="J15" s="522"/>
      <c r="K15" s="522"/>
      <c r="L15" s="523"/>
      <c r="O15" s="206"/>
      <c r="P15" s="206"/>
      <c r="Q15" s="206"/>
      <c r="R15" s="206"/>
      <c r="S15" s="206"/>
      <c r="U15" s="305"/>
      <c r="W15" s="390">
        <v>1027</v>
      </c>
      <c r="X15" s="405">
        <v>893</v>
      </c>
      <c r="Y15" s="390">
        <v>493.98</v>
      </c>
      <c r="Z15" s="405">
        <v>1111.8</v>
      </c>
      <c r="AA15" s="388">
        <f>0.04/0.03</f>
        <v>1.3333333333333335</v>
      </c>
      <c r="AB15" s="348"/>
      <c r="AC15" s="309"/>
      <c r="AD15" s="362">
        <v>1015.32</v>
      </c>
      <c r="AE15" s="130">
        <v>507.66</v>
      </c>
      <c r="AF15" s="335">
        <v>11978</v>
      </c>
      <c r="AG15" s="367">
        <v>0.04</v>
      </c>
      <c r="AH15" s="341"/>
      <c r="AI15" s="188"/>
      <c r="AJ15" s="233">
        <v>670</v>
      </c>
      <c r="AK15" s="236">
        <v>1552</v>
      </c>
      <c r="AL15" s="234">
        <v>882</v>
      </c>
      <c r="AM15" s="647"/>
      <c r="AQ15" s="220">
        <v>655.29999999999995</v>
      </c>
      <c r="AR15" s="225">
        <v>7.0000000000000007E-2</v>
      </c>
      <c r="AS15" s="209"/>
      <c r="AT15" s="274"/>
      <c r="AU15" s="203"/>
      <c r="AV15" s="267">
        <v>1.4999999999999999E-2</v>
      </c>
      <c r="AW15" s="195">
        <v>47.32</v>
      </c>
      <c r="AX15" s="198">
        <f>29349/1000</f>
        <v>29.349</v>
      </c>
      <c r="AY15" s="269">
        <v>314.27999999999997</v>
      </c>
    </row>
    <row r="16" spans="1:59" x14ac:dyDescent="0.3">
      <c r="D16" s="560"/>
      <c r="E16" s="560"/>
      <c r="F16" s="560"/>
      <c r="G16" s="560"/>
      <c r="I16" s="291" t="s">
        <v>303</v>
      </c>
      <c r="J16" s="228" t="s">
        <v>174</v>
      </c>
      <c r="K16" s="292">
        <f>K17/K19</f>
        <v>0.57008734367259484</v>
      </c>
      <c r="L16" s="293"/>
      <c r="M16" s="19"/>
      <c r="O16" s="594" t="s">
        <v>173</v>
      </c>
      <c r="P16" s="595"/>
      <c r="Q16" s="595"/>
      <c r="R16" s="595"/>
      <c r="S16" s="596"/>
      <c r="W16" s="390">
        <v>538.39</v>
      </c>
      <c r="X16" s="405">
        <v>846.9</v>
      </c>
      <c r="Y16" s="390">
        <v>386.53</v>
      </c>
      <c r="Z16" s="405">
        <v>978.3</v>
      </c>
      <c r="AA16" s="388">
        <f>0.045/0.03</f>
        <v>1.5</v>
      </c>
      <c r="AD16" s="362">
        <v>836.47</v>
      </c>
      <c r="AE16" s="130">
        <v>418.24</v>
      </c>
      <c r="AF16" s="335">
        <v>9665</v>
      </c>
      <c r="AG16" s="367">
        <v>4.4999999999999998E-2</v>
      </c>
      <c r="AH16" s="341"/>
      <c r="AI16" s="189"/>
      <c r="AJ16" s="233">
        <v>405</v>
      </c>
      <c r="AK16" s="236">
        <v>1233</v>
      </c>
      <c r="AL16" s="234">
        <v>828</v>
      </c>
      <c r="AM16" s="647"/>
      <c r="AQ16" s="220">
        <v>629.28</v>
      </c>
      <c r="AR16" s="225">
        <v>0.17</v>
      </c>
      <c r="AS16" s="209"/>
      <c r="AT16" s="274"/>
      <c r="AU16" s="203"/>
      <c r="AV16" s="267">
        <v>0.02</v>
      </c>
      <c r="AW16" s="195">
        <v>44.09</v>
      </c>
      <c r="AX16" s="198">
        <f>27345/1000</f>
        <v>27.344999999999999</v>
      </c>
      <c r="AY16" s="269">
        <v>484.95</v>
      </c>
      <c r="BF16" s="122"/>
      <c r="BG16" s="121"/>
    </row>
    <row r="17" spans="4:51" ht="15" thickBot="1" x14ac:dyDescent="0.35">
      <c r="D17" s="560"/>
      <c r="E17" s="560"/>
      <c r="F17" s="560"/>
      <c r="G17" s="560"/>
      <c r="I17" s="291" t="s">
        <v>288</v>
      </c>
      <c r="J17" s="294" t="s">
        <v>234</v>
      </c>
      <c r="K17" s="295">
        <f>K18*(R1/(R1+L32))/10^5</f>
        <v>28.504367183629739</v>
      </c>
      <c r="L17" s="294" t="s">
        <v>76</v>
      </c>
      <c r="O17" s="597"/>
      <c r="P17" s="598"/>
      <c r="Q17" s="598"/>
      <c r="R17" s="598"/>
      <c r="S17" s="599"/>
      <c r="W17" s="390">
        <v>318.73</v>
      </c>
      <c r="X17" s="405">
        <v>795.34</v>
      </c>
      <c r="Y17" s="390">
        <v>297.32</v>
      </c>
      <c r="Z17" s="405">
        <v>831.6</v>
      </c>
      <c r="AA17" s="388">
        <f>0.05/0.03</f>
        <v>1.6666666666666667</v>
      </c>
      <c r="AD17" s="362">
        <v>670.28</v>
      </c>
      <c r="AE17" s="130">
        <v>335.14</v>
      </c>
      <c r="AF17" s="335">
        <v>7787</v>
      </c>
      <c r="AG17" s="367">
        <v>0.05</v>
      </c>
      <c r="AH17" s="341"/>
      <c r="AI17" s="189"/>
      <c r="AJ17" s="254">
        <v>261.99</v>
      </c>
      <c r="AK17" s="255">
        <v>1034</v>
      </c>
      <c r="AL17" s="256">
        <v>772.57</v>
      </c>
      <c r="AM17" s="647"/>
      <c r="AQ17" s="220">
        <v>571.66999999999996</v>
      </c>
      <c r="AR17" s="225">
        <v>0.27</v>
      </c>
      <c r="AS17" s="209"/>
      <c r="AT17" s="274"/>
      <c r="AU17" s="203"/>
      <c r="AV17" s="267">
        <v>2.5000000000000001E-2</v>
      </c>
      <c r="AW17" s="195">
        <v>39.619999999999997</v>
      </c>
      <c r="AX17" s="198">
        <f>24578/1000</f>
        <v>24.577999999999999</v>
      </c>
      <c r="AY17" s="269">
        <v>612.05999999999995</v>
      </c>
    </row>
    <row r="18" spans="4:51" x14ac:dyDescent="0.3">
      <c r="D18" s="560"/>
      <c r="E18" s="560"/>
      <c r="F18" s="560"/>
      <c r="G18" s="560"/>
      <c r="I18" s="526" t="s">
        <v>58</v>
      </c>
      <c r="J18" s="519" t="s">
        <v>69</v>
      </c>
      <c r="K18" s="40">
        <f>K19*10^5</f>
        <v>5000000</v>
      </c>
      <c r="L18" s="229" t="s">
        <v>75</v>
      </c>
      <c r="O18" s="526" t="s">
        <v>264</v>
      </c>
      <c r="P18" s="537"/>
      <c r="Q18" s="28" t="s">
        <v>44</v>
      </c>
      <c r="R18" s="52">
        <v>0.03</v>
      </c>
      <c r="S18" s="3" t="s">
        <v>3</v>
      </c>
      <c r="W18" s="390">
        <v>202.8</v>
      </c>
      <c r="X18" s="405">
        <v>741.8</v>
      </c>
      <c r="Y18" s="390">
        <v>227.58</v>
      </c>
      <c r="Z18" s="405">
        <v>682.6</v>
      </c>
      <c r="AA18" s="388">
        <f>0.055/0.03</f>
        <v>1.8333333333333335</v>
      </c>
      <c r="AD18" s="362">
        <v>529.73</v>
      </c>
      <c r="AE18" s="130">
        <v>264.86</v>
      </c>
      <c r="AF18" s="335">
        <v>6294</v>
      </c>
      <c r="AG18" s="367">
        <v>5.5E-2</v>
      </c>
      <c r="AH18" s="341"/>
      <c r="AI18" s="189"/>
      <c r="AJ18" s="646"/>
      <c r="AK18" s="646"/>
      <c r="AL18" s="646"/>
      <c r="AM18" s="646"/>
      <c r="AQ18" s="220">
        <v>517.17999999999995</v>
      </c>
      <c r="AR18" s="225">
        <v>0.33</v>
      </c>
      <c r="AS18" s="275"/>
      <c r="AT18" s="276"/>
      <c r="AU18" s="219"/>
      <c r="AV18" s="270">
        <v>0.03</v>
      </c>
      <c r="AW18" s="271">
        <v>34.42</v>
      </c>
      <c r="AX18" s="272">
        <f>21354/1000</f>
        <v>21.353999999999999</v>
      </c>
      <c r="AY18" s="270">
        <v>665.23</v>
      </c>
    </row>
    <row r="19" spans="4:51" ht="15" thickBot="1" x14ac:dyDescent="0.35">
      <c r="F19" s="4"/>
      <c r="I19" s="527"/>
      <c r="J19" s="550"/>
      <c r="K19" s="6">
        <v>50</v>
      </c>
      <c r="L19" s="229" t="s">
        <v>76</v>
      </c>
      <c r="O19" s="526" t="s">
        <v>136</v>
      </c>
      <c r="P19" s="537"/>
      <c r="Q19" s="28" t="s">
        <v>134</v>
      </c>
      <c r="R19" s="101">
        <f>R18*(1-R22*COS(RADIANS(90-R24)))</f>
        <v>0.03</v>
      </c>
      <c r="S19" s="3" t="s">
        <v>3</v>
      </c>
      <c r="U19" s="305" t="s">
        <v>307</v>
      </c>
      <c r="W19" s="391">
        <v>146.56</v>
      </c>
      <c r="X19" s="406">
        <v>699</v>
      </c>
      <c r="Y19" s="391">
        <v>184.03</v>
      </c>
      <c r="Z19" s="406">
        <v>566.79999999999995</v>
      </c>
      <c r="AA19" s="389">
        <f>0.059/0.03</f>
        <v>1.9666666666666666</v>
      </c>
      <c r="AD19" s="362">
        <v>416.66</v>
      </c>
      <c r="AE19" s="130">
        <v>208.33</v>
      </c>
      <c r="AF19" s="335">
        <v>5117</v>
      </c>
      <c r="AG19" s="367">
        <v>0.06</v>
      </c>
      <c r="AH19" s="341"/>
      <c r="AI19" s="189"/>
      <c r="AQ19" s="220">
        <v>344.3</v>
      </c>
      <c r="AR19" s="225">
        <v>0.5</v>
      </c>
      <c r="AS19" s="209"/>
      <c r="AT19" s="274"/>
      <c r="AU19" s="203"/>
      <c r="AV19" s="267">
        <v>3.5000000000000003E-2</v>
      </c>
      <c r="AW19" s="195">
        <v>29.1</v>
      </c>
      <c r="AX19" s="198">
        <f>18051/1000</f>
        <v>18.050999999999998</v>
      </c>
      <c r="AY19" s="269">
        <v>646.86</v>
      </c>
    </row>
    <row r="20" spans="4:51" ht="15" thickBot="1" x14ac:dyDescent="0.35">
      <c r="D20" s="528" t="s">
        <v>21</v>
      </c>
      <c r="E20" s="529"/>
      <c r="F20" s="529"/>
      <c r="G20" s="530"/>
      <c r="I20" s="540" t="s">
        <v>143</v>
      </c>
      <c r="J20" s="551" t="s">
        <v>146</v>
      </c>
      <c r="K20" s="44">
        <f>K18*(L34/(L34+L32))</f>
        <v>2850436.718362974</v>
      </c>
      <c r="L20" s="221" t="s">
        <v>75</v>
      </c>
      <c r="O20" s="526" t="s">
        <v>137</v>
      </c>
      <c r="P20" s="537"/>
      <c r="Q20" s="28" t="s">
        <v>135</v>
      </c>
      <c r="R20" s="101">
        <f>R18*(1-R22*COS(RADIANS(210-R24)))</f>
        <v>0.03</v>
      </c>
      <c r="S20" s="3" t="s">
        <v>3</v>
      </c>
      <c r="U20" s="18">
        <f>R19/R18</f>
        <v>1</v>
      </c>
      <c r="Z20" s="17"/>
      <c r="AA20" s="198"/>
      <c r="AD20" s="362">
        <v>328.04</v>
      </c>
      <c r="AE20" s="130">
        <v>164.02</v>
      </c>
      <c r="AF20" s="335">
        <v>4191</v>
      </c>
      <c r="AG20" s="367">
        <v>6.5000000000000002E-2</v>
      </c>
      <c r="AH20" s="341"/>
      <c r="AJ20" s="301" t="s">
        <v>308</v>
      </c>
      <c r="AL20" s="302"/>
      <c r="AM20" s="303"/>
      <c r="AN20" s="301" t="s">
        <v>309</v>
      </c>
      <c r="AO20" s="302"/>
      <c r="AP20" s="303"/>
      <c r="AQ20" s="224">
        <v>167.83</v>
      </c>
      <c r="AR20" s="225">
        <v>0.67</v>
      </c>
      <c r="AS20" s="209"/>
      <c r="AT20" s="274"/>
      <c r="AU20" s="203"/>
      <c r="AV20" s="267">
        <v>0.04</v>
      </c>
      <c r="AW20" s="195">
        <v>24.13</v>
      </c>
      <c r="AX20" s="198">
        <f>14969/1000</f>
        <v>14.968999999999999</v>
      </c>
      <c r="AY20" s="269">
        <v>580.95000000000005</v>
      </c>
    </row>
    <row r="21" spans="4:51" ht="15" thickBot="1" x14ac:dyDescent="0.35">
      <c r="D21" s="531" t="s">
        <v>206</v>
      </c>
      <c r="E21" s="532"/>
      <c r="F21" s="532"/>
      <c r="G21" s="533"/>
      <c r="I21" s="527"/>
      <c r="J21" s="550"/>
      <c r="K21" s="102">
        <f>K20/10^5</f>
        <v>28.504367183629739</v>
      </c>
      <c r="L21" s="103" t="s">
        <v>76</v>
      </c>
      <c r="O21" s="527" t="s">
        <v>138</v>
      </c>
      <c r="P21" s="542"/>
      <c r="Q21" s="28" t="s">
        <v>139</v>
      </c>
      <c r="R21" s="101">
        <f>R18*(1-R22*COS(RADIANS(330-R24)))</f>
        <v>0.03</v>
      </c>
      <c r="S21" s="3" t="s">
        <v>3</v>
      </c>
      <c r="AD21" s="365">
        <v>259.42</v>
      </c>
      <c r="AE21" s="368">
        <v>129.71</v>
      </c>
      <c r="AF21" s="355">
        <v>3461</v>
      </c>
      <c r="AG21" s="369">
        <v>7.0000000000000007E-2</v>
      </c>
      <c r="AH21" s="341"/>
      <c r="AJ21" s="298" t="s">
        <v>262</v>
      </c>
      <c r="AL21" s="282" t="s">
        <v>310</v>
      </c>
      <c r="AM21" s="230" t="s">
        <v>307</v>
      </c>
      <c r="AN21" s="298" t="s">
        <v>262</v>
      </c>
      <c r="AO21" s="282" t="s">
        <v>310</v>
      </c>
      <c r="AP21" s="230" t="s">
        <v>307</v>
      </c>
      <c r="AQ21" s="227">
        <v>43.46</v>
      </c>
      <c r="AR21" s="222">
        <v>0.83</v>
      </c>
      <c r="AS21" s="209"/>
      <c r="AT21" s="274"/>
      <c r="AU21" s="203"/>
      <c r="AV21" s="267">
        <v>4.4999999999999998E-2</v>
      </c>
      <c r="AW21" s="195">
        <v>19.79</v>
      </c>
      <c r="AX21" s="198">
        <f>12278/1000</f>
        <v>12.278</v>
      </c>
      <c r="AY21" s="269">
        <v>494.6</v>
      </c>
    </row>
    <row r="22" spans="4:51" x14ac:dyDescent="0.3">
      <c r="D22" s="13" t="s">
        <v>12</v>
      </c>
      <c r="E22" s="28" t="s">
        <v>13</v>
      </c>
      <c r="F22" s="10"/>
      <c r="G22" s="3" t="s">
        <v>14</v>
      </c>
      <c r="I22" s="540" t="s">
        <v>144</v>
      </c>
      <c r="J22" s="551" t="s">
        <v>147</v>
      </c>
      <c r="K22" s="40">
        <f>K18*(L36/(L36+L32))</f>
        <v>2850436.718362974</v>
      </c>
      <c r="L22" s="225" t="s">
        <v>75</v>
      </c>
      <c r="O22" s="723" t="s">
        <v>292</v>
      </c>
      <c r="P22" s="54" t="s">
        <v>155</v>
      </c>
      <c r="Q22" s="54" t="s">
        <v>149</v>
      </c>
      <c r="R22" s="55">
        <f>R23/R18</f>
        <v>0</v>
      </c>
      <c r="S22" s="56"/>
      <c r="AA22" s="19"/>
      <c r="AG22" s="341"/>
      <c r="AH22" s="341"/>
      <c r="AI22" s="190"/>
      <c r="AJ22" s="231">
        <v>1131.08</v>
      </c>
      <c r="AK22">
        <v>237.8</v>
      </c>
      <c r="AL22" s="134">
        <v>229.54</v>
      </c>
      <c r="AM22" s="22">
        <v>0.16700000000000001</v>
      </c>
      <c r="AN22" s="231">
        <v>1144</v>
      </c>
      <c r="AO22" s="296">
        <v>43.46</v>
      </c>
      <c r="AP22" s="22">
        <v>0.16700000000000001</v>
      </c>
      <c r="AQ22" s="27"/>
      <c r="AR22" s="27"/>
      <c r="AS22" s="209"/>
      <c r="AT22" s="274"/>
      <c r="AU22" s="203"/>
      <c r="AV22" s="267">
        <v>0.05</v>
      </c>
      <c r="AW22" s="195">
        <v>16.16</v>
      </c>
      <c r="AX22" s="198">
        <f>10027/1000</f>
        <v>10.026999999999999</v>
      </c>
      <c r="AY22" s="269">
        <v>407.2</v>
      </c>
    </row>
    <row r="23" spans="4:51" x14ac:dyDescent="0.3">
      <c r="D23" s="116" t="s">
        <v>10</v>
      </c>
      <c r="E23" s="113" t="s">
        <v>9</v>
      </c>
      <c r="F23" s="113">
        <v>20</v>
      </c>
      <c r="G23" s="113" t="s">
        <v>24</v>
      </c>
      <c r="I23" s="527"/>
      <c r="J23" s="550"/>
      <c r="K23" s="57">
        <f>K22/10^5</f>
        <v>28.504367183629739</v>
      </c>
      <c r="L23" s="48" t="s">
        <v>76</v>
      </c>
      <c r="O23" s="724"/>
      <c r="P23" s="257" t="s">
        <v>265</v>
      </c>
      <c r="Q23" s="71" t="s">
        <v>68</v>
      </c>
      <c r="R23" s="285">
        <v>0</v>
      </c>
      <c r="S23" s="258" t="s">
        <v>3</v>
      </c>
      <c r="Y23" s="18"/>
      <c r="Z23" s="18"/>
      <c r="AA23" s="19"/>
      <c r="AI23" s="190"/>
      <c r="AJ23" s="231">
        <v>1292</v>
      </c>
      <c r="AK23">
        <v>788</v>
      </c>
      <c r="AL23" s="134">
        <v>766.23</v>
      </c>
      <c r="AM23" s="22">
        <v>0.33300000000000002</v>
      </c>
      <c r="AN23" s="231">
        <v>1405</v>
      </c>
      <c r="AO23" s="296">
        <v>167.83</v>
      </c>
      <c r="AP23" s="22">
        <v>0.33300000000000002</v>
      </c>
      <c r="AQ23" s="27"/>
      <c r="AR23" s="27"/>
      <c r="AS23" s="209"/>
      <c r="AT23" s="274"/>
      <c r="AU23" s="203"/>
      <c r="AV23" s="267">
        <v>5.5E-2</v>
      </c>
      <c r="AW23" s="195">
        <v>13.2</v>
      </c>
      <c r="AX23" s="198">
        <f>8193/1000</f>
        <v>8.1929999999999996</v>
      </c>
      <c r="AY23" s="269">
        <v>328.9</v>
      </c>
    </row>
    <row r="24" spans="4:51" ht="16.8" thickBot="1" x14ac:dyDescent="0.35">
      <c r="D24" s="116" t="s">
        <v>11</v>
      </c>
      <c r="E24" s="119" t="s">
        <v>26</v>
      </c>
      <c r="F24" s="169">
        <v>841.3</v>
      </c>
      <c r="G24" s="113" t="s">
        <v>27</v>
      </c>
      <c r="I24" s="540" t="s">
        <v>145</v>
      </c>
      <c r="J24" s="551" t="s">
        <v>148</v>
      </c>
      <c r="K24" s="44">
        <f>K18*(L38/(L38+L32))</f>
        <v>2850436.718362974</v>
      </c>
      <c r="L24" s="221" t="s">
        <v>75</v>
      </c>
      <c r="O24" s="725"/>
      <c r="P24" s="53" t="s">
        <v>266</v>
      </c>
      <c r="Q24" s="87" t="s">
        <v>156</v>
      </c>
      <c r="R24" s="286">
        <v>270</v>
      </c>
      <c r="S24" s="69" t="s">
        <v>38</v>
      </c>
      <c r="T24" s="201"/>
      <c r="V24" s="20"/>
      <c r="W24" s="18"/>
      <c r="Y24" s="18"/>
      <c r="AI24" s="190"/>
      <c r="AJ24" s="231">
        <v>1395</v>
      </c>
      <c r="AK24">
        <v>1149</v>
      </c>
      <c r="AL24" s="134">
        <v>1130</v>
      </c>
      <c r="AM24" s="22">
        <v>0.5</v>
      </c>
      <c r="AN24" s="231">
        <v>1789.3</v>
      </c>
      <c r="AO24" s="296">
        <v>344.3</v>
      </c>
      <c r="AP24" s="22">
        <v>0.5</v>
      </c>
      <c r="AQ24" s="27"/>
      <c r="AR24" s="27"/>
      <c r="AS24" s="209"/>
      <c r="AT24" s="274"/>
      <c r="AU24" s="203"/>
      <c r="AV24" s="267">
        <v>0.06</v>
      </c>
      <c r="AW24" s="195">
        <v>10.83</v>
      </c>
      <c r="AX24" s="198">
        <f>6719/1000</f>
        <v>6.7190000000000003</v>
      </c>
      <c r="AY24" s="269">
        <v>263.22000000000003</v>
      </c>
    </row>
    <row r="25" spans="4:51" ht="15.6" x14ac:dyDescent="0.3">
      <c r="D25" s="727" t="s">
        <v>28</v>
      </c>
      <c r="E25" s="728" t="s">
        <v>25</v>
      </c>
      <c r="F25" s="170">
        <v>1.7410000000000001E-5</v>
      </c>
      <c r="G25" s="113" t="s">
        <v>53</v>
      </c>
      <c r="I25" s="527"/>
      <c r="J25" s="550"/>
      <c r="K25" s="102">
        <f>K24/10^5</f>
        <v>28.504367183629739</v>
      </c>
      <c r="L25" s="103" t="s">
        <v>76</v>
      </c>
      <c r="V25" s="287"/>
      <c r="W25" s="713" t="s">
        <v>300</v>
      </c>
      <c r="X25" s="714"/>
      <c r="Y25" s="714"/>
      <c r="Z25" s="714"/>
      <c r="AA25" s="715"/>
      <c r="AD25" s="640" t="s">
        <v>294</v>
      </c>
      <c r="AE25" s="641"/>
      <c r="AF25" s="641"/>
      <c r="AG25" s="642"/>
      <c r="AJ25" s="231">
        <v>1527</v>
      </c>
      <c r="AK25">
        <v>1073</v>
      </c>
      <c r="AL25" s="134">
        <v>1070</v>
      </c>
      <c r="AM25" s="22">
        <v>0.66700000000000004</v>
      </c>
      <c r="AN25" s="231">
        <v>2467.11</v>
      </c>
      <c r="AO25" s="296">
        <v>517.17999999999995</v>
      </c>
      <c r="AP25" s="22">
        <v>0.66700000000000004</v>
      </c>
      <c r="AQ25" s="27"/>
      <c r="AR25" s="27"/>
      <c r="AS25" s="209"/>
      <c r="AT25" s="274"/>
      <c r="AU25" s="203"/>
      <c r="AV25" s="267">
        <v>6.5000000000000002E-2</v>
      </c>
      <c r="AW25" s="195">
        <v>8.93</v>
      </c>
      <c r="AX25" s="198">
        <f>5542/1000</f>
        <v>5.5419999999999998</v>
      </c>
      <c r="AY25" s="269">
        <v>210.11</v>
      </c>
    </row>
    <row r="26" spans="4:51" ht="16.8" thickBot="1" x14ac:dyDescent="0.35">
      <c r="D26" s="727"/>
      <c r="E26" s="728"/>
      <c r="F26" s="170">
        <f>F25*1000</f>
        <v>1.7410000000000002E-2</v>
      </c>
      <c r="G26" s="113" t="s">
        <v>23</v>
      </c>
      <c r="I26" s="540" t="s">
        <v>78</v>
      </c>
      <c r="J26" s="551" t="s">
        <v>79</v>
      </c>
      <c r="K26" s="40">
        <v>101325</v>
      </c>
      <c r="L26" s="225" t="s">
        <v>75</v>
      </c>
      <c r="P26" s="7"/>
      <c r="Q26" s="7"/>
      <c r="R26" s="7"/>
      <c r="S26" s="7"/>
      <c r="V26" s="288"/>
      <c r="W26" s="238" t="s">
        <v>262</v>
      </c>
      <c r="X26" s="237"/>
      <c r="Y26" s="244" t="s">
        <v>263</v>
      </c>
      <c r="Z26" s="237" t="s">
        <v>286</v>
      </c>
      <c r="AA26" s="239"/>
      <c r="AC26" s="27"/>
      <c r="AD26" s="637" t="s">
        <v>350</v>
      </c>
      <c r="AE26" s="638"/>
      <c r="AF26" s="638"/>
      <c r="AG26" s="639"/>
      <c r="AJ26" s="231">
        <v>2113.88</v>
      </c>
      <c r="AK26">
        <v>793</v>
      </c>
      <c r="AL26" s="134">
        <v>800.92</v>
      </c>
      <c r="AM26" s="22">
        <v>0.83299999999999996</v>
      </c>
      <c r="AN26" s="299">
        <v>4354.22</v>
      </c>
      <c r="AO26" s="297">
        <v>629.28</v>
      </c>
      <c r="AP26" s="22">
        <v>0.83299999999999996</v>
      </c>
      <c r="AQ26" s="27"/>
      <c r="AR26" s="27"/>
      <c r="AS26" s="209"/>
      <c r="AT26" s="274"/>
      <c r="AU26" s="203"/>
      <c r="AV26" s="267">
        <v>7.0000000000000007E-2</v>
      </c>
      <c r="AW26" s="195">
        <v>7.41</v>
      </c>
      <c r="AX26" s="198">
        <f>4602/1000</f>
        <v>4.6020000000000003</v>
      </c>
      <c r="AY26" s="269">
        <v>167.97</v>
      </c>
    </row>
    <row r="27" spans="4:51" ht="16.2" customHeight="1" x14ac:dyDescent="0.3">
      <c r="I27" s="527"/>
      <c r="J27" s="550"/>
      <c r="K27" s="223">
        <v>1.01325</v>
      </c>
      <c r="L27" s="222" t="s">
        <v>76</v>
      </c>
      <c r="P27" s="7"/>
      <c r="Q27" s="7"/>
      <c r="R27" s="7"/>
      <c r="S27" s="7"/>
      <c r="T27" s="243"/>
      <c r="U27" s="243"/>
      <c r="V27" s="289" t="s">
        <v>82</v>
      </c>
      <c r="W27" s="231">
        <f>S35</f>
        <v>17004.391980388606</v>
      </c>
      <c r="X27" s="245" t="s">
        <v>84</v>
      </c>
      <c r="Y27" s="135">
        <f>(ABS(S49)+ABS(S42))</f>
        <v>17004.391980388606</v>
      </c>
      <c r="Z27" s="246">
        <f>ABS(S52)</f>
        <v>0</v>
      </c>
      <c r="AA27" s="247" t="s">
        <v>84</v>
      </c>
      <c r="AC27" s="27"/>
      <c r="AD27" s="362" t="s">
        <v>258</v>
      </c>
      <c r="AE27" s="9" t="s">
        <v>351</v>
      </c>
      <c r="AF27" s="48" t="s">
        <v>213</v>
      </c>
      <c r="AG27" s="370" t="s">
        <v>174</v>
      </c>
      <c r="AI27" s="189"/>
      <c r="AJ27" s="233"/>
      <c r="AK27">
        <v>531.5</v>
      </c>
      <c r="AL27" s="134">
        <v>541.28</v>
      </c>
      <c r="AM27" s="22">
        <v>1</v>
      </c>
      <c r="AN27" s="231"/>
      <c r="AO27" s="134">
        <v>655.95</v>
      </c>
      <c r="AP27" s="230">
        <v>1</v>
      </c>
      <c r="AQ27" s="27"/>
      <c r="AR27" s="27"/>
      <c r="AS27" s="209"/>
      <c r="AT27" s="274"/>
      <c r="AU27" s="203"/>
      <c r="AV27" s="267">
        <v>7.4999999999999997E-2</v>
      </c>
      <c r="AW27" s="195">
        <v>6.2</v>
      </c>
      <c r="AX27" s="198">
        <f>3848/1000</f>
        <v>3.8479999999999999</v>
      </c>
      <c r="AY27" s="269">
        <v>134.85</v>
      </c>
    </row>
    <row r="28" spans="4:51" s="201" customFormat="1" ht="16.2" customHeight="1" thickBot="1" x14ac:dyDescent="0.35">
      <c r="N28" s="20"/>
      <c r="O28" s="644" t="s">
        <v>220</v>
      </c>
      <c r="P28" s="645"/>
      <c r="Q28" s="645"/>
      <c r="R28" s="136" t="s">
        <v>168</v>
      </c>
      <c r="S28" s="347">
        <f>IF(R23=0,S35,17004)</f>
        <v>17004.391980388606</v>
      </c>
      <c r="T28" s="137" t="s">
        <v>84</v>
      </c>
      <c r="U28" s="305"/>
      <c r="V28" s="290" t="s">
        <v>244</v>
      </c>
      <c r="W28" s="248" t="e">
        <f>W27/R23/1000</f>
        <v>#DIV/0!</v>
      </c>
      <c r="X28" s="240" t="s">
        <v>94</v>
      </c>
      <c r="Y28" s="249" t="e">
        <f>Y27/R23/1000</f>
        <v>#DIV/0!</v>
      </c>
      <c r="Z28" s="241" t="e">
        <f>Z27/R23/1000</f>
        <v>#DIV/0!</v>
      </c>
      <c r="AA28" s="235" t="s">
        <v>94</v>
      </c>
      <c r="AB28" s="348"/>
      <c r="AC28" s="309"/>
      <c r="AD28" s="362">
        <v>100</v>
      </c>
      <c r="AE28" s="335">
        <v>326.04000000000002</v>
      </c>
      <c r="AF28" s="265">
        <v>43.45</v>
      </c>
      <c r="AG28" s="371">
        <f t="shared" ref="AG28:AG45" si="0">AF28/50</f>
        <v>0.86900000000000011</v>
      </c>
      <c r="AH28" s="309"/>
      <c r="AJ28" s="231">
        <v>1006</v>
      </c>
      <c r="AK28" s="201">
        <v>347.18</v>
      </c>
      <c r="AL28" s="134">
        <v>355.54</v>
      </c>
      <c r="AM28" s="22">
        <v>1.167</v>
      </c>
      <c r="AN28" s="231">
        <v>3066.19</v>
      </c>
      <c r="AO28" s="134">
        <v>611.61</v>
      </c>
      <c r="AP28" s="230">
        <v>1.167</v>
      </c>
      <c r="AQ28" s="27"/>
      <c r="AR28" s="27"/>
      <c r="AS28" s="210"/>
      <c r="AT28" s="277"/>
      <c r="AU28" s="204"/>
      <c r="AV28" s="84">
        <v>0.08</v>
      </c>
      <c r="AW28" s="196">
        <v>5.22</v>
      </c>
      <c r="AX28" s="199">
        <f>3242/1000</f>
        <v>3.242</v>
      </c>
      <c r="AY28" s="180">
        <v>108.89</v>
      </c>
    </row>
    <row r="29" spans="4:51" ht="15.6" x14ac:dyDescent="0.3">
      <c r="I29" s="543" t="s">
        <v>50</v>
      </c>
      <c r="J29" s="544"/>
      <c r="K29" s="544"/>
      <c r="L29" s="544"/>
      <c r="M29" s="545"/>
      <c r="N29" s="20"/>
      <c r="O29" s="668" t="s">
        <v>345</v>
      </c>
      <c r="P29" s="669"/>
      <c r="Q29" s="669"/>
      <c r="R29" s="669"/>
      <c r="S29" s="669"/>
      <c r="T29" s="670"/>
      <c r="V29" s="664" t="s">
        <v>157</v>
      </c>
      <c r="W29" s="665"/>
      <c r="X29" s="665"/>
      <c r="Y29" s="665"/>
      <c r="Z29" s="665"/>
      <c r="AA29" s="666"/>
      <c r="AD29" s="362">
        <v>150</v>
      </c>
      <c r="AE29" s="335">
        <v>430.76</v>
      </c>
      <c r="AF29" s="265">
        <v>40.78</v>
      </c>
      <c r="AG29" s="371">
        <f t="shared" si="0"/>
        <v>0.81559999999999999</v>
      </c>
      <c r="AJ29" s="231">
        <v>357.68</v>
      </c>
      <c r="AK29">
        <v>228.46</v>
      </c>
      <c r="AL29" s="134">
        <v>234.81</v>
      </c>
      <c r="AM29" s="22">
        <v>1.333</v>
      </c>
      <c r="AN29" s="231">
        <v>1247.0999999999999</v>
      </c>
      <c r="AO29" s="236">
        <v>528.6</v>
      </c>
      <c r="AP29" s="300">
        <v>1.33</v>
      </c>
      <c r="AR29" s="176"/>
    </row>
    <row r="30" spans="4:51" ht="16.2" customHeight="1" x14ac:dyDescent="0.3">
      <c r="I30" s="546" t="s">
        <v>51</v>
      </c>
      <c r="J30" s="547"/>
      <c r="K30" s="28" t="s">
        <v>77</v>
      </c>
      <c r="L30" s="6">
        <v>500</v>
      </c>
      <c r="M30" s="3" t="s">
        <v>3</v>
      </c>
      <c r="O30" s="621" t="s">
        <v>317</v>
      </c>
      <c r="P30" s="624" t="s">
        <v>320</v>
      </c>
      <c r="Q30" s="326" t="s">
        <v>318</v>
      </c>
      <c r="R30" s="327" t="s">
        <v>322</v>
      </c>
      <c r="S30" s="328">
        <f>K20*L9/1000^2*(L4-L7)*(SIN(RADIANS(120))-SIN(RADIANS(60)))</f>
        <v>1.3067628916028898E-12</v>
      </c>
      <c r="T30" s="278" t="s">
        <v>84</v>
      </c>
      <c r="V30" s="613" t="s">
        <v>302</v>
      </c>
      <c r="W30" s="580" t="s">
        <v>91</v>
      </c>
      <c r="X30" s="580"/>
      <c r="Y30" s="519" t="s">
        <v>90</v>
      </c>
      <c r="Z30" s="47">
        <f>3*S28/R18*R98/(1+R98)</f>
        <v>731040.33255212894</v>
      </c>
      <c r="AA30" s="211" t="s">
        <v>93</v>
      </c>
      <c r="AD30" s="372">
        <v>200</v>
      </c>
      <c r="AE30" s="335">
        <v>509.72</v>
      </c>
      <c r="AF30" s="265">
        <v>38.409999999999997</v>
      </c>
      <c r="AG30" s="371">
        <f t="shared" si="0"/>
        <v>0.76819999999999988</v>
      </c>
      <c r="AI30" s="189"/>
      <c r="AJ30" s="231">
        <v>173.93</v>
      </c>
      <c r="AL30" s="134">
        <v>158.11000000000001</v>
      </c>
      <c r="AM30" s="22">
        <v>1.5</v>
      </c>
      <c r="AN30" s="231">
        <v>670.7</v>
      </c>
      <c r="AO30" s="236">
        <v>435.43</v>
      </c>
      <c r="AP30" s="300">
        <v>1.5</v>
      </c>
      <c r="AR30" s="176"/>
    </row>
    <row r="31" spans="4:51" ht="18" customHeight="1" x14ac:dyDescent="0.3">
      <c r="I31" s="546" t="s">
        <v>95</v>
      </c>
      <c r="J31" s="547"/>
      <c r="K31" s="28" t="s">
        <v>52</v>
      </c>
      <c r="L31" s="6">
        <v>1</v>
      </c>
      <c r="M31" s="3" t="s">
        <v>3</v>
      </c>
      <c r="O31" s="622"/>
      <c r="P31" s="625"/>
      <c r="Q31" s="318" t="s">
        <v>319</v>
      </c>
      <c r="R31" s="318" t="s">
        <v>323</v>
      </c>
      <c r="S31" s="319">
        <f>K20*L9/1000^2*(L4-L7)*(COS(RADIANS(90-((L12-N6*2)/2)))-COS(RADIANS(90+((L12-N6*2)/2))))</f>
        <v>13502.303337195452</v>
      </c>
      <c r="T31" s="306" t="s">
        <v>84</v>
      </c>
      <c r="V31" s="614"/>
      <c r="W31" s="607"/>
      <c r="X31" s="607"/>
      <c r="Y31" s="519"/>
      <c r="Z31" s="207">
        <f>Z30/1000</f>
        <v>731.04033255212892</v>
      </c>
      <c r="AA31" s="211" t="s">
        <v>94</v>
      </c>
      <c r="AD31" s="372">
        <v>250</v>
      </c>
      <c r="AE31" s="335">
        <v>569.28</v>
      </c>
      <c r="AF31" s="266">
        <v>36.31</v>
      </c>
      <c r="AG31" s="371">
        <f t="shared" si="0"/>
        <v>0.72620000000000007</v>
      </c>
      <c r="AI31" s="189"/>
      <c r="AJ31" s="231">
        <v>97.5</v>
      </c>
      <c r="AL31" s="134">
        <v>109.05</v>
      </c>
      <c r="AM31" s="22">
        <v>1.67</v>
      </c>
      <c r="AN31" s="231">
        <v>405.26</v>
      </c>
      <c r="AO31" s="236">
        <v>348.87</v>
      </c>
      <c r="AP31" s="300">
        <v>1.667</v>
      </c>
      <c r="AR31" s="176"/>
      <c r="AS31" s="176"/>
    </row>
    <row r="32" spans="4:51" ht="14.4" customHeight="1" thickBot="1" x14ac:dyDescent="0.35">
      <c r="D32" s="707" t="s">
        <v>72</v>
      </c>
      <c r="E32" s="708"/>
      <c r="F32" s="708"/>
      <c r="G32" s="709"/>
      <c r="I32" s="548" t="s">
        <v>47</v>
      </c>
      <c r="J32" s="549"/>
      <c r="K32" s="519" t="s">
        <v>49</v>
      </c>
      <c r="L32" s="689">
        <f>8*F25*L30/(PI()*(L31/2)^4)*1000^4</f>
        <v>354673607581.42694</v>
      </c>
      <c r="M32" s="559" t="s">
        <v>54</v>
      </c>
      <c r="N32" s="19"/>
      <c r="O32" s="622"/>
      <c r="P32" s="626" t="s">
        <v>321</v>
      </c>
      <c r="Q32" s="326" t="s">
        <v>318</v>
      </c>
      <c r="R32" s="327" t="s">
        <v>324</v>
      </c>
      <c r="S32" s="328">
        <f>K20/2*L4*L9/1000^2*((SIN(RADIANS(145))-SIN(RADIANS(120)))+(SIN(RADIANS(60))-SIN(RADIANS(35))))</f>
        <v>-1.5832596236242624E-12</v>
      </c>
      <c r="T32" s="278" t="s">
        <v>84</v>
      </c>
      <c r="V32" s="614"/>
      <c r="W32" s="551">
        <v>1</v>
      </c>
      <c r="X32" s="580" t="s">
        <v>159</v>
      </c>
      <c r="Y32" s="551" t="s">
        <v>158</v>
      </c>
      <c r="Z32" s="200">
        <f>3*S28/R18*((R98*(1+R98)*R99^2)/(1+R98*R99^3)^2)</f>
        <v>731040.33255212894</v>
      </c>
      <c r="AA32" s="259" t="s">
        <v>93</v>
      </c>
      <c r="AD32" s="372">
        <v>300</v>
      </c>
      <c r="AE32" s="335">
        <v>614.04</v>
      </c>
      <c r="AF32" s="266">
        <v>34.42</v>
      </c>
      <c r="AG32" s="371">
        <f t="shared" si="0"/>
        <v>0.68840000000000001</v>
      </c>
      <c r="AI32" s="189"/>
      <c r="AJ32" s="231">
        <v>59.6</v>
      </c>
      <c r="AK32" s="130"/>
      <c r="AL32" s="134">
        <v>77</v>
      </c>
      <c r="AM32" s="22">
        <v>1.83</v>
      </c>
      <c r="AN32" s="231">
        <v>261.99</v>
      </c>
      <c r="AO32" s="236">
        <v>275.67</v>
      </c>
      <c r="AP32" s="300">
        <v>1.83</v>
      </c>
      <c r="AQ32" s="130"/>
      <c r="AR32" s="130"/>
      <c r="AS32" s="130"/>
      <c r="AT32" s="130"/>
      <c r="AU32" s="130"/>
      <c r="AV32" s="130"/>
      <c r="AW32" s="130"/>
      <c r="AX32" s="130"/>
      <c r="AY32" s="130"/>
    </row>
    <row r="33" spans="4:54" ht="18" customHeight="1" x14ac:dyDescent="0.3">
      <c r="D33" s="520" t="s">
        <v>207</v>
      </c>
      <c r="E33" s="519" t="s">
        <v>73</v>
      </c>
      <c r="F33" s="105">
        <f>(F38+F40+F42)/100^3</f>
        <v>1.7813581304477095E-5</v>
      </c>
      <c r="G33" s="3" t="s">
        <v>74</v>
      </c>
      <c r="I33" s="548"/>
      <c r="J33" s="549"/>
      <c r="K33" s="519"/>
      <c r="L33" s="689"/>
      <c r="M33" s="559"/>
      <c r="N33" s="20"/>
      <c r="O33" s="622"/>
      <c r="P33" s="625"/>
      <c r="Q33" s="318" t="s">
        <v>319</v>
      </c>
      <c r="R33" s="318" t="s">
        <v>325</v>
      </c>
      <c r="S33" s="319">
        <f>K20/2*L4*L9/1000^2*((-COS(RADIANS(90+((L12-N6*2)/2)+N6))+COS(RADIANS(90+((L12-N6*2)/2))))+(-COS(RADIANS(90-((L12-N6*2)/2)))+COS(RADIANS(90-((L12-N6*2)/2)-N6))))</f>
        <v>3502.0886431931531</v>
      </c>
      <c r="T33" s="306" t="s">
        <v>84</v>
      </c>
      <c r="V33" s="614"/>
      <c r="W33" s="550"/>
      <c r="X33" s="607"/>
      <c r="Y33" s="550"/>
      <c r="Z33" s="102">
        <f>Z32/1000</f>
        <v>731.04033255212892</v>
      </c>
      <c r="AA33" s="260" t="s">
        <v>94</v>
      </c>
      <c r="AD33" s="372">
        <v>350</v>
      </c>
      <c r="AE33" s="335">
        <v>647.41</v>
      </c>
      <c r="AF33" s="266">
        <v>32.729999999999997</v>
      </c>
      <c r="AG33" s="371">
        <f t="shared" si="0"/>
        <v>0.65459999999999996</v>
      </c>
      <c r="AI33" s="189"/>
      <c r="AJ33" s="657" t="s">
        <v>348</v>
      </c>
      <c r="AK33" s="658"/>
      <c r="AL33" s="658"/>
      <c r="AM33" s="658"/>
      <c r="AN33" s="658"/>
      <c r="AO33" s="658"/>
      <c r="AP33" s="658"/>
      <c r="AQ33" s="658"/>
      <c r="AR33" s="658"/>
      <c r="AS33" s="658"/>
      <c r="AT33" s="658"/>
      <c r="AU33" s="658"/>
      <c r="AV33" s="658"/>
      <c r="AW33" s="658"/>
      <c r="AX33" s="658"/>
      <c r="AY33" s="659"/>
      <c r="AZ33" s="226"/>
      <c r="BA33" s="226"/>
      <c r="BB33" s="226"/>
    </row>
    <row r="34" spans="4:54" ht="18" customHeight="1" x14ac:dyDescent="0.3">
      <c r="D34" s="520"/>
      <c r="E34" s="519"/>
      <c r="F34" s="101">
        <f>F33*100^3</f>
        <v>17.813581304477097</v>
      </c>
      <c r="G34" s="3" t="s">
        <v>106</v>
      </c>
      <c r="I34" s="540" t="s">
        <v>130</v>
      </c>
      <c r="J34" s="541"/>
      <c r="K34" s="551" t="s">
        <v>128</v>
      </c>
      <c r="L34" s="538">
        <f>6*F26/(R19/1000)^3/(L4/L6+L5/L7-3)</f>
        <v>470316311560.01147</v>
      </c>
      <c r="M34" s="534" t="s">
        <v>54</v>
      </c>
      <c r="N34" s="333"/>
      <c r="O34" s="622"/>
      <c r="P34" s="627" t="s">
        <v>217</v>
      </c>
      <c r="Q34" s="628"/>
      <c r="R34" s="327" t="s">
        <v>327</v>
      </c>
      <c r="S34" s="328">
        <f>S32+S30</f>
        <v>-2.7649673202137259E-13</v>
      </c>
      <c r="T34" s="278" t="s">
        <v>84</v>
      </c>
      <c r="U34" s="31"/>
      <c r="V34" s="614"/>
      <c r="W34" s="551">
        <v>2</v>
      </c>
      <c r="X34" s="582" t="s">
        <v>160</v>
      </c>
      <c r="Y34" s="551" t="s">
        <v>163</v>
      </c>
      <c r="Z34" s="200">
        <f>3*S28/R18*((R102*(1+R102)*R103^2)/(1+R102*R103^3)^2)</f>
        <v>731040.33255212894</v>
      </c>
      <c r="AA34" s="259" t="s">
        <v>93</v>
      </c>
      <c r="AD34" s="372">
        <v>400</v>
      </c>
      <c r="AE34" s="335">
        <v>671.93</v>
      </c>
      <c r="AF34" s="266">
        <v>31.19</v>
      </c>
      <c r="AG34" s="371">
        <f t="shared" si="0"/>
        <v>0.62380000000000002</v>
      </c>
      <c r="AI34" s="189"/>
      <c r="AJ34" s="671" t="s">
        <v>250</v>
      </c>
      <c r="AK34" s="551" t="s">
        <v>208</v>
      </c>
      <c r="AL34" s="551" t="s">
        <v>251</v>
      </c>
      <c r="AM34" s="519" t="s">
        <v>256</v>
      </c>
      <c r="AN34" s="654" t="s">
        <v>257</v>
      </c>
      <c r="AO34" s="655"/>
      <c r="AP34" s="656"/>
      <c r="AQ34" s="660" t="s">
        <v>255</v>
      </c>
      <c r="AR34" s="661"/>
      <c r="AS34" s="663"/>
      <c r="AT34" s="654" t="s">
        <v>253</v>
      </c>
      <c r="AU34" s="655"/>
      <c r="AV34" s="656"/>
      <c r="AW34" s="660" t="s">
        <v>254</v>
      </c>
      <c r="AX34" s="661"/>
      <c r="AY34" s="662"/>
    </row>
    <row r="35" spans="4:54" ht="18" customHeight="1" x14ac:dyDescent="0.3">
      <c r="D35" s="704"/>
      <c r="E35" s="705"/>
      <c r="F35" s="705"/>
      <c r="G35" s="706"/>
      <c r="I35" s="527"/>
      <c r="J35" s="542"/>
      <c r="K35" s="550"/>
      <c r="L35" s="539"/>
      <c r="M35" s="535"/>
      <c r="N35" s="334"/>
      <c r="O35" s="622"/>
      <c r="P35" s="629" t="s">
        <v>169</v>
      </c>
      <c r="Q35" s="629"/>
      <c r="R35" s="318" t="s">
        <v>326</v>
      </c>
      <c r="S35" s="319">
        <f>S33+S31</f>
        <v>17004.391980388606</v>
      </c>
      <c r="T35" s="306" t="s">
        <v>84</v>
      </c>
      <c r="V35" s="614"/>
      <c r="W35" s="519"/>
      <c r="X35" s="582"/>
      <c r="Y35" s="519"/>
      <c r="Z35" s="57">
        <f>Z34/1000</f>
        <v>731.04033255212892</v>
      </c>
      <c r="AA35" s="260" t="s">
        <v>94</v>
      </c>
      <c r="AD35" s="372">
        <v>450</v>
      </c>
      <c r="AE35" s="335">
        <v>689.53</v>
      </c>
      <c r="AF35" s="266">
        <v>29.78</v>
      </c>
      <c r="AG35" s="371">
        <f t="shared" si="0"/>
        <v>0.59560000000000002</v>
      </c>
      <c r="AI35" s="189"/>
      <c r="AJ35" s="672"/>
      <c r="AK35" s="519"/>
      <c r="AL35" s="519"/>
      <c r="AM35" s="519"/>
      <c r="AN35" s="342" t="s">
        <v>248</v>
      </c>
      <c r="AO35" s="337" t="s">
        <v>252</v>
      </c>
      <c r="AP35" s="178" t="s">
        <v>246</v>
      </c>
      <c r="AQ35" s="342" t="s">
        <v>248</v>
      </c>
      <c r="AR35" s="337" t="s">
        <v>252</v>
      </c>
      <c r="AS35" s="180" t="s">
        <v>246</v>
      </c>
      <c r="AT35" s="342" t="s">
        <v>248</v>
      </c>
      <c r="AU35" s="337" t="s">
        <v>252</v>
      </c>
      <c r="AV35" s="178" t="s">
        <v>246</v>
      </c>
      <c r="AW35" s="337" t="s">
        <v>248</v>
      </c>
      <c r="AX35" s="337" t="s">
        <v>252</v>
      </c>
      <c r="AY35" s="359" t="s">
        <v>349</v>
      </c>
    </row>
    <row r="36" spans="4:54" ht="16.2" customHeight="1" x14ac:dyDescent="0.3">
      <c r="D36" s="704"/>
      <c r="E36" s="705"/>
      <c r="F36" s="705"/>
      <c r="G36" s="706"/>
      <c r="H36" s="20"/>
      <c r="I36" s="540" t="s">
        <v>131</v>
      </c>
      <c r="J36" s="541"/>
      <c r="K36" s="551" t="s">
        <v>129</v>
      </c>
      <c r="L36" s="538">
        <f>6*F26/(R20/1000)^3/(L4/L6+L5/L7-3)</f>
        <v>470316311560.01147</v>
      </c>
      <c r="M36" s="534" t="s">
        <v>54</v>
      </c>
      <c r="O36" s="623"/>
      <c r="P36" s="629" t="s">
        <v>154</v>
      </c>
      <c r="Q36" s="629"/>
      <c r="R36" s="318" t="s">
        <v>328</v>
      </c>
      <c r="S36" s="350">
        <f>SQRT(S35^2+S34^2)</f>
        <v>17004.391980388606</v>
      </c>
      <c r="T36" s="321" t="s">
        <v>84</v>
      </c>
      <c r="V36" s="614"/>
      <c r="W36" s="551">
        <v>3</v>
      </c>
      <c r="X36" s="580" t="s">
        <v>161</v>
      </c>
      <c r="Y36" s="551" t="s">
        <v>162</v>
      </c>
      <c r="Z36" s="200">
        <f>3*S28/R18*((R106*(1+R106)*R107^2)/(1+R106*R107^3)^2)</f>
        <v>731040.33255212894</v>
      </c>
      <c r="AA36" s="259" t="s">
        <v>93</v>
      </c>
      <c r="AD36" s="372">
        <v>500</v>
      </c>
      <c r="AE36" s="335">
        <v>701.69</v>
      </c>
      <c r="AF36" s="265">
        <v>28.5</v>
      </c>
      <c r="AG36" s="371">
        <f t="shared" si="0"/>
        <v>0.56999999999999995</v>
      </c>
      <c r="AI36" s="189"/>
      <c r="AJ36" s="360">
        <v>5</v>
      </c>
      <c r="AK36" s="181">
        <f>RADIANS(AJ36)*$L$9</f>
        <v>4.3659411238638155</v>
      </c>
      <c r="AL36" s="182">
        <f t="shared" ref="AL36:AL45" si="1">AK36/$L$4</f>
        <v>4.3659411238638153E-2</v>
      </c>
      <c r="AM36" s="131">
        <f>$L$5*$L$4-$L$4*AK36-$L$5*AK36</f>
        <v>8749.1246383790185</v>
      </c>
      <c r="AN36" s="13"/>
      <c r="AO36" s="335"/>
      <c r="AP36" s="177"/>
      <c r="AQ36" s="214">
        <v>7.74</v>
      </c>
      <c r="AR36" s="335">
        <f>6070/1000</f>
        <v>6.07</v>
      </c>
      <c r="AS36" s="179">
        <v>213.42</v>
      </c>
      <c r="AT36" s="13">
        <v>15.13</v>
      </c>
      <c r="AU36" s="335">
        <f>11868/1000</f>
        <v>11.868</v>
      </c>
      <c r="AV36" s="177">
        <v>522.9</v>
      </c>
      <c r="AW36" s="9">
        <v>29.71</v>
      </c>
      <c r="AX36" s="335">
        <f>23301/1000</f>
        <v>23.300999999999998</v>
      </c>
      <c r="AY36" s="361">
        <v>1191.25</v>
      </c>
    </row>
    <row r="37" spans="4:54" ht="16.2" x14ac:dyDescent="0.3">
      <c r="D37" s="702" t="s">
        <v>73</v>
      </c>
      <c r="E37" s="519" t="s">
        <v>140</v>
      </c>
      <c r="F37" s="19">
        <f>($K$18-$K$26)/($L$32+L34)</f>
        <v>5.9378604348256985E-6</v>
      </c>
      <c r="G37" s="3" t="s">
        <v>74</v>
      </c>
      <c r="H37" s="19"/>
      <c r="I37" s="527"/>
      <c r="J37" s="542"/>
      <c r="K37" s="550"/>
      <c r="L37" s="539"/>
      <c r="M37" s="535"/>
      <c r="O37" s="677" t="s">
        <v>329</v>
      </c>
      <c r="P37" s="680" t="s">
        <v>320</v>
      </c>
      <c r="Q37" s="322" t="s">
        <v>318</v>
      </c>
      <c r="R37" s="323" t="s">
        <v>331</v>
      </c>
      <c r="S37" s="324">
        <f>K22*L9/1000^2*(L4-L7)*(SIN(RADIANS(210+((L12-N6*2)/2)))-SIN(RADIANS(210-((L12-N6*2)/2))))</f>
        <v>-11693.337699614664</v>
      </c>
      <c r="T37" s="325" t="s">
        <v>84</v>
      </c>
      <c r="V37" s="614"/>
      <c r="W37" s="550"/>
      <c r="X37" s="607"/>
      <c r="Y37" s="550"/>
      <c r="Z37" s="102">
        <f>Z36/1000</f>
        <v>731.04033255212892</v>
      </c>
      <c r="AA37" s="260" t="s">
        <v>94</v>
      </c>
      <c r="AD37" s="373">
        <v>600</v>
      </c>
      <c r="AE37" s="9">
        <v>713.97</v>
      </c>
      <c r="AF37" s="266">
        <v>26.25</v>
      </c>
      <c r="AG37" s="371">
        <f t="shared" si="0"/>
        <v>0.52500000000000002</v>
      </c>
      <c r="AI37" s="189"/>
      <c r="AJ37" s="362">
        <v>10</v>
      </c>
      <c r="AK37" s="93">
        <f t="shared" ref="AK37:AK45" si="2">RADIANS(AJ37)*$L$9</f>
        <v>8.731882247727631</v>
      </c>
      <c r="AL37" s="339">
        <f t="shared" si="1"/>
        <v>8.7318822477276306E-2</v>
      </c>
      <c r="AM37" s="135">
        <f t="shared" ref="AM37:AM45" si="3">$L$5*$L$4-$L$4*AK37-$L$5*AK37</f>
        <v>7893.1788042576409</v>
      </c>
      <c r="AN37" s="13">
        <v>2.35</v>
      </c>
      <c r="AO37" s="335">
        <f>1709/1000</f>
        <v>1.7090000000000001</v>
      </c>
      <c r="AP37" s="177">
        <v>61.08</v>
      </c>
      <c r="AQ37" s="214">
        <v>14.14</v>
      </c>
      <c r="AR37" s="335">
        <f>10277/1000</f>
        <v>10.276999999999999</v>
      </c>
      <c r="AS37" s="179">
        <v>357.65</v>
      </c>
      <c r="AT37" s="13">
        <v>24.16</v>
      </c>
      <c r="AU37" s="335">
        <f>17552/1000</f>
        <v>17.552</v>
      </c>
      <c r="AV37" s="177">
        <v>709.35</v>
      </c>
      <c r="AW37" s="9">
        <v>37.96</v>
      </c>
      <c r="AX37" s="335">
        <f>27580/1000</f>
        <v>27.58</v>
      </c>
      <c r="AY37" s="361">
        <v>1045.3499999999999</v>
      </c>
    </row>
    <row r="38" spans="4:54" ht="16.2" x14ac:dyDescent="0.3">
      <c r="D38" s="702"/>
      <c r="E38" s="519"/>
      <c r="F38" s="101">
        <f>F37*100^3</f>
        <v>5.9378604348256987</v>
      </c>
      <c r="G38" s="3" t="s">
        <v>106</v>
      </c>
      <c r="H38" s="19"/>
      <c r="I38" s="526" t="s">
        <v>133</v>
      </c>
      <c r="J38" s="537"/>
      <c r="K38" s="519" t="s">
        <v>132</v>
      </c>
      <c r="L38" s="687">
        <f>6*F26/(R21/1000)^3/(L4/L6+L5/L7-3)</f>
        <v>470316311560.01147</v>
      </c>
      <c r="M38" s="559" t="s">
        <v>54</v>
      </c>
      <c r="O38" s="678"/>
      <c r="P38" s="681"/>
      <c r="Q38" s="313" t="s">
        <v>319</v>
      </c>
      <c r="R38" s="313" t="s">
        <v>332</v>
      </c>
      <c r="S38" s="314">
        <f>K22*L9/1000^2*(L4-L7)*(-COS(RADIANS(210+((L12-N6*2)/2)))+COS(RADIANS(210-((L12-N6*2)/2))))</f>
        <v>-6751.1516685977285</v>
      </c>
      <c r="T38" s="315" t="s">
        <v>84</v>
      </c>
      <c r="U38" s="396"/>
      <c r="V38" s="615"/>
      <c r="W38" s="304" t="s">
        <v>314</v>
      </c>
      <c r="X38" s="304" t="s">
        <v>315</v>
      </c>
      <c r="Y38" s="304" t="s">
        <v>316</v>
      </c>
      <c r="Z38" s="182">
        <f>(Z35+Z37)*SIN(RADIANS(30))+Z33</f>
        <v>1462.0806651042576</v>
      </c>
      <c r="AA38" s="260" t="s">
        <v>94</v>
      </c>
      <c r="AD38" s="372">
        <v>650</v>
      </c>
      <c r="AE38" s="335">
        <v>715.68</v>
      </c>
      <c r="AF38" s="266">
        <v>25.25</v>
      </c>
      <c r="AG38" s="371">
        <f t="shared" si="0"/>
        <v>0.505</v>
      </c>
      <c r="AI38" s="191"/>
      <c r="AJ38" s="362">
        <v>15</v>
      </c>
      <c r="AK38" s="93">
        <f t="shared" si="2"/>
        <v>13.097823371591446</v>
      </c>
      <c r="AL38" s="339">
        <f t="shared" si="1"/>
        <v>0.13097823371591447</v>
      </c>
      <c r="AM38" s="135">
        <f t="shared" si="3"/>
        <v>7037.2329701362651</v>
      </c>
      <c r="AN38" s="343"/>
      <c r="AO38" s="335"/>
      <c r="AP38" s="177"/>
      <c r="AQ38" s="215">
        <v>19.53</v>
      </c>
      <c r="AR38" s="335">
        <f>13119/1000</f>
        <v>13.119</v>
      </c>
      <c r="AS38" s="179">
        <v>447.26</v>
      </c>
      <c r="AT38" s="343">
        <v>30.15</v>
      </c>
      <c r="AU38" s="335">
        <f>20250/1000</f>
        <v>20.25</v>
      </c>
      <c r="AV38" s="177">
        <v>741.46</v>
      </c>
      <c r="AW38" s="344">
        <v>41.84</v>
      </c>
      <c r="AX38" s="335">
        <f>28095/1000</f>
        <v>28.094999999999999</v>
      </c>
      <c r="AY38" s="361">
        <v>825.34</v>
      </c>
    </row>
    <row r="39" spans="4:54" ht="16.8" thickBot="1" x14ac:dyDescent="0.35">
      <c r="D39" s="702"/>
      <c r="E39" s="519" t="s">
        <v>141</v>
      </c>
      <c r="F39" s="19">
        <f>($K$18-$K$26)/($L$32+L36)</f>
        <v>5.9378604348256985E-6</v>
      </c>
      <c r="G39" s="3" t="s">
        <v>74</v>
      </c>
      <c r="I39" s="527"/>
      <c r="J39" s="542"/>
      <c r="K39" s="550"/>
      <c r="L39" s="539"/>
      <c r="M39" s="535"/>
      <c r="O39" s="678"/>
      <c r="P39" s="682" t="s">
        <v>321</v>
      </c>
      <c r="Q39" s="322" t="s">
        <v>318</v>
      </c>
      <c r="R39" s="323" t="s">
        <v>333</v>
      </c>
      <c r="S39" s="324">
        <f>K22/2*L4*L9/1000^2*((SIN(RADIANS(210-((L12-N6*2)/2)))-SIN(RADIANS(210-((L12-N6*2)/2)-N6)))+(SIN(RADIANS(210+((L12-N6*2)/2)+N6))-SIN(RADIANS(210+((L12-N6*2)/2)))))</f>
        <v>-3032.8977313102473</v>
      </c>
      <c r="T39" s="325" t="s">
        <v>84</v>
      </c>
      <c r="U39"/>
      <c r="V39" s="261" t="s">
        <v>235</v>
      </c>
      <c r="W39" s="692" t="s">
        <v>237</v>
      </c>
      <c r="X39" s="693"/>
      <c r="Y39" s="262" t="s">
        <v>180</v>
      </c>
      <c r="Z39" s="263">
        <f>Z48</f>
        <v>732.80550707383907</v>
      </c>
      <c r="AA39" s="264" t="s">
        <v>94</v>
      </c>
      <c r="AD39" s="373">
        <v>700</v>
      </c>
      <c r="AE39" s="335">
        <v>715.22</v>
      </c>
      <c r="AF39" s="266">
        <v>24.32</v>
      </c>
      <c r="AG39" s="371">
        <f t="shared" si="0"/>
        <v>0.4864</v>
      </c>
      <c r="AJ39" s="362">
        <v>20</v>
      </c>
      <c r="AK39" s="93">
        <f t="shared" si="2"/>
        <v>17.463764495455262</v>
      </c>
      <c r="AL39" s="339">
        <f t="shared" si="1"/>
        <v>0.17463764495455261</v>
      </c>
      <c r="AM39" s="135">
        <f t="shared" si="3"/>
        <v>6181.2871360148874</v>
      </c>
      <c r="AN39" s="13">
        <v>5.22</v>
      </c>
      <c r="AO39" s="335">
        <f>3242/1000</f>
        <v>3.242</v>
      </c>
      <c r="AP39" s="177">
        <v>108.89</v>
      </c>
      <c r="AQ39" s="214">
        <v>24.13</v>
      </c>
      <c r="AR39" s="335">
        <f>14969/1000</f>
        <v>14.968999999999999</v>
      </c>
      <c r="AS39" s="179">
        <v>494.07</v>
      </c>
      <c r="AT39" s="13">
        <v>34.42</v>
      </c>
      <c r="AU39" s="335">
        <f>21354/1000</f>
        <v>21.353999999999999</v>
      </c>
      <c r="AV39" s="177">
        <v>701.69</v>
      </c>
      <c r="AW39" s="9">
        <v>44.09</v>
      </c>
      <c r="AX39" s="335">
        <f>27345/1000</f>
        <v>27.344999999999999</v>
      </c>
      <c r="AY39" s="361">
        <v>641.03</v>
      </c>
    </row>
    <row r="40" spans="4:54" ht="16.2" x14ac:dyDescent="0.3">
      <c r="D40" s="702"/>
      <c r="E40" s="519"/>
      <c r="F40" s="101">
        <f>F39*100^3</f>
        <v>5.9378604348256987</v>
      </c>
      <c r="G40" s="3" t="s">
        <v>106</v>
      </c>
      <c r="H40" s="19"/>
      <c r="O40" s="678"/>
      <c r="P40" s="681"/>
      <c r="Q40" s="313" t="s">
        <v>319</v>
      </c>
      <c r="R40" s="313" t="s">
        <v>334</v>
      </c>
      <c r="S40" s="314">
        <f>K22/2*L4*L9/1000^2*((-COS(RADIANS(210-((L12-N6*2)/2)))+COS(RADIANS(210-((L12-N6*2)/2)-N6)))+(-COS(RADIANS(210+((L12-N6*2)/2)+N6))+COS(RADIANS(210+((L12-N6*2)/2)))))</f>
        <v>-1751.0443215965738</v>
      </c>
      <c r="T40" s="315" t="s">
        <v>84</v>
      </c>
      <c r="U40"/>
      <c r="W40" s="396"/>
      <c r="X40" s="396"/>
      <c r="AD40" s="372">
        <v>800</v>
      </c>
      <c r="AE40" s="335">
        <v>709.48</v>
      </c>
      <c r="AF40" s="266">
        <v>22.66</v>
      </c>
      <c r="AG40" s="371">
        <f t="shared" si="0"/>
        <v>0.45319999999999999</v>
      </c>
      <c r="AJ40" s="363">
        <v>25</v>
      </c>
      <c r="AK40" s="184">
        <f t="shared" si="2"/>
        <v>21.829705619319078</v>
      </c>
      <c r="AL40" s="185">
        <f t="shared" si="1"/>
        <v>0.21829705619319079</v>
      </c>
      <c r="AM40" s="218">
        <f t="shared" si="3"/>
        <v>5325.3413018935098</v>
      </c>
      <c r="AN40" s="183"/>
      <c r="AO40" s="186"/>
      <c r="AP40" s="187"/>
      <c r="AQ40" s="216">
        <v>28.1</v>
      </c>
      <c r="AR40" s="186">
        <f>16117/1000</f>
        <v>16.117000000000001</v>
      </c>
      <c r="AS40" s="187">
        <v>507.66</v>
      </c>
      <c r="AT40" s="183">
        <v>37.619999999999997</v>
      </c>
      <c r="AU40" s="186">
        <f>21580/1000</f>
        <v>21.58</v>
      </c>
      <c r="AV40" s="187">
        <v>629.85</v>
      </c>
      <c r="AW40" s="186">
        <v>45.56</v>
      </c>
      <c r="AX40" s="186">
        <f>26127/1000</f>
        <v>26.126999999999999</v>
      </c>
      <c r="AY40" s="364">
        <v>496.57</v>
      </c>
    </row>
    <row r="41" spans="4:54" ht="16.2" customHeight="1" x14ac:dyDescent="0.3">
      <c r="D41" s="702"/>
      <c r="E41" s="519" t="s">
        <v>142</v>
      </c>
      <c r="F41" s="19">
        <f>($K$18-$K$26)/($L$32+L38)</f>
        <v>5.9378604348256985E-6</v>
      </c>
      <c r="G41" s="3" t="s">
        <v>74</v>
      </c>
      <c r="I41" s="700" t="s">
        <v>191</v>
      </c>
      <c r="J41" s="574" t="s">
        <v>127</v>
      </c>
      <c r="K41" s="688">
        <f>41.1*SQRT(F4/2/R18)*F26/F24/(R18/1000)/PI()/(F4/1000)</f>
        <v>3684.1979068079718</v>
      </c>
      <c r="L41" s="688"/>
      <c r="M41" s="19"/>
      <c r="O41" s="678"/>
      <c r="P41" s="683" t="s">
        <v>217</v>
      </c>
      <c r="Q41" s="684"/>
      <c r="R41" s="323" t="s">
        <v>335</v>
      </c>
      <c r="S41" s="324">
        <f>S39+S37</f>
        <v>-14726.235430924911</v>
      </c>
      <c r="T41" s="325" t="s">
        <v>84</v>
      </c>
      <c r="U41"/>
      <c r="V41" s="543" t="s">
        <v>97</v>
      </c>
      <c r="W41" s="544"/>
      <c r="X41" s="544"/>
      <c r="Y41" s="544"/>
      <c r="Z41" s="544"/>
      <c r="AA41" s="545"/>
      <c r="AD41" s="373">
        <v>900</v>
      </c>
      <c r="AE41" s="335">
        <v>699.3</v>
      </c>
      <c r="AF41" s="266">
        <v>21.21</v>
      </c>
      <c r="AG41" s="371">
        <f t="shared" si="0"/>
        <v>0.42420000000000002</v>
      </c>
      <c r="AJ41" s="362">
        <v>30</v>
      </c>
      <c r="AK41" s="93">
        <f t="shared" si="2"/>
        <v>26.195646743182891</v>
      </c>
      <c r="AL41" s="339">
        <f t="shared" si="1"/>
        <v>0.26195646743182893</v>
      </c>
      <c r="AM41" s="135">
        <f t="shared" si="3"/>
        <v>4469.395467772134</v>
      </c>
      <c r="AN41" s="13">
        <v>8.81</v>
      </c>
      <c r="AO41" s="335">
        <f>4852/1000</f>
        <v>4.8520000000000003</v>
      </c>
      <c r="AP41" s="177">
        <v>149.80000000000001</v>
      </c>
      <c r="AQ41" s="214">
        <v>31.55</v>
      </c>
      <c r="AR41" s="335">
        <f>16793/1000</f>
        <v>16.792999999999999</v>
      </c>
      <c r="AS41" s="179">
        <v>495.85</v>
      </c>
      <c r="AT41" s="13">
        <v>40.11</v>
      </c>
      <c r="AU41" s="335">
        <f>21341/1000</f>
        <v>21.341000000000001</v>
      </c>
      <c r="AV41" s="177">
        <v>545.98</v>
      </c>
      <c r="AW41" s="9">
        <v>46.59</v>
      </c>
      <c r="AX41" s="335">
        <f>24789/1000</f>
        <v>24.789000000000001</v>
      </c>
      <c r="AY41" s="361">
        <v>383.93</v>
      </c>
    </row>
    <row r="42" spans="4:54" ht="16.2" customHeight="1" x14ac:dyDescent="0.3">
      <c r="D42" s="703"/>
      <c r="E42" s="550"/>
      <c r="F42" s="102">
        <f>F41*100^3</f>
        <v>5.9378604348256987</v>
      </c>
      <c r="G42" s="26" t="s">
        <v>106</v>
      </c>
      <c r="I42" s="700"/>
      <c r="J42" s="574"/>
      <c r="K42" s="688"/>
      <c r="L42" s="688"/>
      <c r="O42" s="678"/>
      <c r="P42" s="685" t="s">
        <v>169</v>
      </c>
      <c r="Q42" s="685"/>
      <c r="R42" s="313" t="s">
        <v>336</v>
      </c>
      <c r="S42" s="314">
        <f>S40+S38</f>
        <v>-8502.1959901943028</v>
      </c>
      <c r="T42" s="315" t="s">
        <v>84</v>
      </c>
      <c r="U42"/>
      <c r="V42" s="694" t="s">
        <v>184</v>
      </c>
      <c r="W42" s="695"/>
      <c r="X42" s="695"/>
      <c r="Y42" s="175" t="s">
        <v>8</v>
      </c>
      <c r="Z42" s="175">
        <v>200</v>
      </c>
      <c r="AA42" s="90" t="s">
        <v>185</v>
      </c>
      <c r="AD42" s="373">
        <v>1000</v>
      </c>
      <c r="AE42" s="335">
        <v>686.36</v>
      </c>
      <c r="AF42" s="266">
        <v>19.93</v>
      </c>
      <c r="AG42" s="371">
        <f t="shared" si="0"/>
        <v>0.39860000000000001</v>
      </c>
      <c r="AJ42" s="362">
        <v>35</v>
      </c>
      <c r="AK42" s="93">
        <f t="shared" si="2"/>
        <v>30.561587867046708</v>
      </c>
      <c r="AL42" s="339">
        <f t="shared" si="1"/>
        <v>0.30561587867046708</v>
      </c>
      <c r="AM42" s="135">
        <f t="shared" si="3"/>
        <v>3613.4496336507573</v>
      </c>
      <c r="AN42" s="13"/>
      <c r="AO42" s="335"/>
      <c r="AP42" s="177"/>
      <c r="AQ42" s="214">
        <v>34.6</v>
      </c>
      <c r="AR42" s="335">
        <f>17182/1000</f>
        <v>17.181999999999999</v>
      </c>
      <c r="AS42" s="179">
        <v>465.01</v>
      </c>
      <c r="AT42" s="13">
        <v>42.09</v>
      </c>
      <c r="AU42" s="335">
        <f>20901/1000</f>
        <v>20.901</v>
      </c>
      <c r="AV42" s="177">
        <v>460.36</v>
      </c>
      <c r="AW42" s="9">
        <v>47.36</v>
      </c>
      <c r="AX42" s="335">
        <f>23514/1000</f>
        <v>23.513999999999999</v>
      </c>
      <c r="AY42" s="361">
        <v>295.42</v>
      </c>
    </row>
    <row r="43" spans="4:54" ht="14.4" customHeight="1" x14ac:dyDescent="0.3">
      <c r="I43" s="700"/>
      <c r="J43" s="574"/>
      <c r="K43" s="688"/>
      <c r="L43" s="688"/>
      <c r="M43" s="20"/>
      <c r="O43" s="679"/>
      <c r="P43" s="685" t="s">
        <v>154</v>
      </c>
      <c r="Q43" s="685"/>
      <c r="R43" s="313" t="s">
        <v>337</v>
      </c>
      <c r="S43" s="316">
        <f>SQRT(S42^2+S41^2)</f>
        <v>17004.391980388606</v>
      </c>
      <c r="T43" s="317" t="s">
        <v>84</v>
      </c>
      <c r="U43" s="201"/>
      <c r="V43" s="526" t="s">
        <v>241</v>
      </c>
      <c r="W43" s="537"/>
      <c r="X43" s="537"/>
      <c r="Y43" s="92" t="s">
        <v>174</v>
      </c>
      <c r="Z43" s="98">
        <f>K17/K19</f>
        <v>0.57008734367259484</v>
      </c>
      <c r="AA43" s="99"/>
      <c r="AD43" s="373">
        <v>1200</v>
      </c>
      <c r="AE43" s="335">
        <v>656.29</v>
      </c>
      <c r="AF43" s="266">
        <v>17.79</v>
      </c>
      <c r="AG43" s="371">
        <f t="shared" si="0"/>
        <v>0.35580000000000001</v>
      </c>
      <c r="AJ43" s="362">
        <v>40</v>
      </c>
      <c r="AK43" s="93">
        <f t="shared" si="2"/>
        <v>34.927528990910524</v>
      </c>
      <c r="AL43" s="339">
        <f t="shared" si="1"/>
        <v>0.34927528990910522</v>
      </c>
      <c r="AM43" s="135">
        <f t="shared" si="3"/>
        <v>2757.5037995293806</v>
      </c>
      <c r="AN43" s="338">
        <v>13.43</v>
      </c>
      <c r="AO43" s="344">
        <f>6283/1000</f>
        <v>6.2830000000000004</v>
      </c>
      <c r="AP43" s="177">
        <v>172.33</v>
      </c>
      <c r="AQ43" s="214">
        <v>37.299999999999997</v>
      </c>
      <c r="AR43" s="335">
        <f>17437/1000</f>
        <v>17.437000000000001</v>
      </c>
      <c r="AS43" s="179">
        <v>420.36</v>
      </c>
      <c r="AT43" s="13">
        <v>43.72</v>
      </c>
      <c r="AU43" s="335">
        <f>20435/1000</f>
        <v>20.434999999999999</v>
      </c>
      <c r="AV43" s="177">
        <v>378.25</v>
      </c>
      <c r="AW43" s="9">
        <v>47.96</v>
      </c>
      <c r="AX43" s="335">
        <f>22414/1000</f>
        <v>22.414000000000001</v>
      </c>
      <c r="AY43" s="361">
        <v>225.21</v>
      </c>
    </row>
    <row r="44" spans="4:54" ht="14.4" customHeight="1" x14ac:dyDescent="0.3">
      <c r="I44" s="109" t="s">
        <v>103</v>
      </c>
      <c r="J44" s="110" t="s">
        <v>104</v>
      </c>
      <c r="K44" s="111">
        <f>K18*F33/1000</f>
        <v>8.906790652238547E-2</v>
      </c>
      <c r="L44" s="112" t="s">
        <v>197</v>
      </c>
      <c r="O44" s="621" t="s">
        <v>330</v>
      </c>
      <c r="P44" s="624" t="s">
        <v>320</v>
      </c>
      <c r="Q44" s="326" t="s">
        <v>318</v>
      </c>
      <c r="R44" s="327" t="s">
        <v>338</v>
      </c>
      <c r="S44" s="328">
        <f>K24*L9/1000^2*(L4-L7)*(SIN(RADIANS(-30+((L12-N6*2)/2)))-SIN(RADIANS(330-((L12-N6*2)/2))))</f>
        <v>11693.337699614662</v>
      </c>
      <c r="T44" s="278" t="s">
        <v>84</v>
      </c>
      <c r="V44" s="696"/>
      <c r="W44" s="697"/>
      <c r="X44" s="697"/>
      <c r="Y44" s="89" t="s">
        <v>175</v>
      </c>
      <c r="Z44" s="98">
        <f>F26*F9/K18*(L9/R18)^2</f>
        <v>4.8419161854444455E-2</v>
      </c>
      <c r="AA44" s="100"/>
      <c r="AD44" s="373">
        <v>1500</v>
      </c>
      <c r="AE44" s="335">
        <v>608.58000000000004</v>
      </c>
      <c r="AF44" s="266">
        <v>15.33</v>
      </c>
      <c r="AG44" s="371">
        <f t="shared" si="0"/>
        <v>0.30659999999999998</v>
      </c>
      <c r="AJ44" s="362">
        <v>45</v>
      </c>
      <c r="AK44" s="93">
        <f t="shared" si="2"/>
        <v>39.293470114774337</v>
      </c>
      <c r="AL44" s="339">
        <f t="shared" si="1"/>
        <v>0.39293470114774337</v>
      </c>
      <c r="AM44" s="135">
        <f t="shared" si="3"/>
        <v>1901.5579654080043</v>
      </c>
      <c r="AN44" s="130"/>
      <c r="AO44" s="130"/>
      <c r="AP44" s="177"/>
      <c r="AQ44" s="217">
        <v>39.700000000000003</v>
      </c>
      <c r="AR44" s="344">
        <f>17682/1000</f>
        <v>17.681999999999999</v>
      </c>
      <c r="AS44" s="179">
        <v>366.18</v>
      </c>
      <c r="AT44" s="338">
        <v>45.07</v>
      </c>
      <c r="AU44" s="130">
        <f>20068/1000</f>
        <v>20.068000000000001</v>
      </c>
      <c r="AV44" s="177">
        <v>302.25</v>
      </c>
      <c r="AW44" s="335">
        <v>48.43</v>
      </c>
      <c r="AX44" s="344">
        <f>21561/1000</f>
        <v>21.561</v>
      </c>
      <c r="AY44" s="361">
        <v>169.06</v>
      </c>
    </row>
    <row r="45" spans="4:54" ht="14.4" customHeight="1" thickBot="1" x14ac:dyDescent="0.35">
      <c r="M45" s="19"/>
      <c r="O45" s="622"/>
      <c r="P45" s="625"/>
      <c r="Q45" s="318" t="s">
        <v>319</v>
      </c>
      <c r="R45" s="318" t="s">
        <v>339</v>
      </c>
      <c r="S45" s="319">
        <f>K24*L9/1000^2*(L4-L7)*(-COS(RADIANS(-30+((L12-N6*2)/2)))+COS(RADIANS(330-((L12-N6*2)/2))))</f>
        <v>-6751.1516685977231</v>
      </c>
      <c r="T45" s="306" t="s">
        <v>84</v>
      </c>
      <c r="V45" s="696"/>
      <c r="W45" s="697"/>
      <c r="X45" s="697"/>
      <c r="Y45" s="89" t="s">
        <v>178</v>
      </c>
      <c r="Z45" s="98">
        <f>Z43/(1-Z43)</f>
        <v>1.3260538746234025</v>
      </c>
      <c r="AA45" s="100"/>
      <c r="AD45" s="374">
        <v>2000</v>
      </c>
      <c r="AE45" s="355">
        <v>535.34</v>
      </c>
      <c r="AF45" s="375">
        <v>12.45</v>
      </c>
      <c r="AG45" s="376">
        <f t="shared" si="0"/>
        <v>0.249</v>
      </c>
      <c r="AI45" s="192"/>
      <c r="AJ45" s="365">
        <v>50</v>
      </c>
      <c r="AK45" s="351">
        <f t="shared" si="2"/>
        <v>43.659411238638157</v>
      </c>
      <c r="AL45" s="352">
        <f t="shared" si="1"/>
        <v>0.43659411238638157</v>
      </c>
      <c r="AM45" s="353">
        <f t="shared" si="3"/>
        <v>1045.6121312866262</v>
      </c>
      <c r="AN45" s="354">
        <v>19.559999999999999</v>
      </c>
      <c r="AO45" s="355">
        <f>8439/1000</f>
        <v>8.4390000000000001</v>
      </c>
      <c r="AP45" s="356">
        <v>192.46</v>
      </c>
      <c r="AQ45" s="357">
        <v>41.87</v>
      </c>
      <c r="AR45" s="355">
        <f>18021/1000</f>
        <v>18.021000000000001</v>
      </c>
      <c r="AS45" s="358">
        <v>305.95999999999998</v>
      </c>
      <c r="AT45" s="354">
        <v>46.21</v>
      </c>
      <c r="AU45" s="355">
        <f>19888/1000</f>
        <v>19.888000000000002</v>
      </c>
      <c r="AV45" s="356">
        <v>233.49</v>
      </c>
      <c r="AW45" s="355">
        <v>48.81</v>
      </c>
      <c r="AX45" s="355">
        <f>21004/1000</f>
        <v>21.004000000000001</v>
      </c>
      <c r="AY45" s="366">
        <v>123.86</v>
      </c>
    </row>
    <row r="46" spans="4:54" ht="14.4" customHeight="1" x14ac:dyDescent="0.3">
      <c r="E46" s="19"/>
      <c r="M46" s="19"/>
      <c r="O46" s="622"/>
      <c r="P46" s="626" t="s">
        <v>321</v>
      </c>
      <c r="Q46" s="326" t="s">
        <v>318</v>
      </c>
      <c r="R46" s="327" t="s">
        <v>340</v>
      </c>
      <c r="S46" s="328">
        <f>K24/2*L4*L9/1000^2*((SIN(RADIANS(330-((L12-N6*2)/2)))-SIN(RADIANS(330-((L12-N6*2)/2)-N6)))+(SIN(RADIANS(-30+((L12-N6*2)/2)+N6))-SIN(RADIANS(-30+((L12-N6*2)/2)))))</f>
        <v>3032.8977313102478</v>
      </c>
      <c r="T46" s="278" t="s">
        <v>84</v>
      </c>
      <c r="V46" s="696"/>
      <c r="W46" s="697"/>
      <c r="X46" s="697"/>
      <c r="Y46" s="92" t="s">
        <v>179</v>
      </c>
      <c r="Z46" s="98">
        <f>F7*L6*(L5-L6)/(PI()*2*L9*L7)</f>
        <v>0.75</v>
      </c>
      <c r="AA46" s="100"/>
      <c r="AI46" s="193"/>
      <c r="AJ46" s="27"/>
      <c r="AK46" s="172"/>
      <c r="AQ46" s="27"/>
    </row>
    <row r="47" spans="4:54" ht="15.6" customHeight="1" x14ac:dyDescent="0.3">
      <c r="M47" s="133" t="s">
        <v>239</v>
      </c>
      <c r="O47" s="622"/>
      <c r="P47" s="625"/>
      <c r="Q47" s="318" t="s">
        <v>319</v>
      </c>
      <c r="R47" s="318" t="s">
        <v>341</v>
      </c>
      <c r="S47" s="319">
        <f>K24/2*L4*L9/1000^2*((-COS(RADIANS(330-((L12-N6*2)/2)))+COS(RADIANS(330-((L12-N6*2)/2)-N6)))+(-COS(RADIANS(-30+((L12-N6*2)/2)+N6))+COS(RADIANS(-30+((L12-N6*2)/2)))))</f>
        <v>-1751.0443215965793</v>
      </c>
      <c r="T47" s="306" t="s">
        <v>84</v>
      </c>
      <c r="V47" s="526" t="s">
        <v>4</v>
      </c>
      <c r="W47" s="537"/>
      <c r="X47" s="537"/>
      <c r="Y47" s="393" t="s">
        <v>84</v>
      </c>
      <c r="Z47" s="395">
        <v>300</v>
      </c>
      <c r="AA47" s="27" t="s">
        <v>5</v>
      </c>
      <c r="AI47" s="193"/>
    </row>
    <row r="48" spans="4:54" ht="15" thickBot="1" x14ac:dyDescent="0.35">
      <c r="O48" s="622"/>
      <c r="P48" s="627" t="s">
        <v>217</v>
      </c>
      <c r="Q48" s="628"/>
      <c r="R48" s="327" t="s">
        <v>342</v>
      </c>
      <c r="S48" s="328">
        <f>S46+S44</f>
        <v>14726.235430924909</v>
      </c>
      <c r="T48" s="278" t="s">
        <v>84</v>
      </c>
      <c r="V48" s="526" t="s">
        <v>188</v>
      </c>
      <c r="W48" s="537"/>
      <c r="X48" s="537"/>
      <c r="Y48" s="92" t="s">
        <v>180</v>
      </c>
      <c r="Z48" s="98">
        <f>K18*L4/1000*2*L9/1000/R18*3/2*F7^2/PI()*SIN(PI()/F7)^2*(1-L6/L4)*Z43/(Z45+1+2*Z46*SIN(PI()/F7)^2)/1000</f>
        <v>732.80550707383907</v>
      </c>
      <c r="AA48" s="90" t="s">
        <v>94</v>
      </c>
      <c r="AI48" s="193"/>
      <c r="AN48" s="130"/>
      <c r="AO48" s="130"/>
      <c r="AP48" s="130"/>
    </row>
    <row r="49" spans="14:59" x14ac:dyDescent="0.3">
      <c r="O49" s="622"/>
      <c r="P49" s="629" t="s">
        <v>169</v>
      </c>
      <c r="Q49" s="629"/>
      <c r="R49" s="318" t="s">
        <v>343</v>
      </c>
      <c r="S49" s="319">
        <f>S47+S45</f>
        <v>-8502.1959901943028</v>
      </c>
      <c r="T49" s="306" t="s">
        <v>84</v>
      </c>
      <c r="V49" s="526" t="s">
        <v>193</v>
      </c>
      <c r="W49" s="537"/>
      <c r="X49" s="537"/>
      <c r="Y49" s="92" t="s">
        <v>181</v>
      </c>
      <c r="Z49" s="98">
        <f>K18*L5/1000*2*L9/1000/R18*12*F7^2*SIN(PI()/F7)^2*(L6/L5)*(L5/2/L9)^2*(1-L6/L5)^2/(Z45+1+2*Z46*SIN(PI()/F7)^2)*Z44/1000</f>
        <v>204.16318124434193</v>
      </c>
      <c r="AA49" s="90" t="s">
        <v>94</v>
      </c>
      <c r="AD49" s="616" t="s">
        <v>295</v>
      </c>
      <c r="AE49" s="617"/>
      <c r="AF49" s="617"/>
      <c r="AG49" s="617"/>
      <c r="AH49" s="618"/>
      <c r="AI49" s="189"/>
      <c r="AN49" s="130"/>
      <c r="AO49" s="130"/>
      <c r="AP49" s="130"/>
    </row>
    <row r="50" spans="14:59" ht="15.6" x14ac:dyDescent="0.3">
      <c r="N50" s="133" t="s">
        <v>238</v>
      </c>
      <c r="O50" s="623"/>
      <c r="P50" s="629" t="s">
        <v>154</v>
      </c>
      <c r="Q50" s="629"/>
      <c r="R50" s="318" t="s">
        <v>344</v>
      </c>
      <c r="S50" s="320">
        <f>SQRT(S49^2+S48^2)</f>
        <v>17004.391980388602</v>
      </c>
      <c r="T50" s="321" t="s">
        <v>84</v>
      </c>
      <c r="V50" s="526" t="s">
        <v>189</v>
      </c>
      <c r="W50" s="537"/>
      <c r="X50" s="537"/>
      <c r="Y50" s="89" t="s">
        <v>182</v>
      </c>
      <c r="Z50" s="98">
        <f>Z49/PI()/F9</f>
        <v>12.997431796961422</v>
      </c>
      <c r="AA50" s="90" t="s">
        <v>183</v>
      </c>
      <c r="AD50" s="362"/>
      <c r="AE50" s="282" t="s">
        <v>260</v>
      </c>
      <c r="AF50" s="283" t="s">
        <v>261</v>
      </c>
      <c r="AG50" s="180" t="s">
        <v>298</v>
      </c>
      <c r="AH50" s="377" t="s">
        <v>299</v>
      </c>
      <c r="AI50" s="189"/>
      <c r="AN50" s="130"/>
      <c r="AO50" s="130"/>
      <c r="AP50" s="130"/>
    </row>
    <row r="51" spans="14:59" s="129" customFormat="1" ht="18" customHeight="1" x14ac:dyDescent="0.3">
      <c r="N51"/>
      <c r="O51" s="677" t="s">
        <v>313</v>
      </c>
      <c r="P51" s="620" t="s">
        <v>217</v>
      </c>
      <c r="Q51" s="620"/>
      <c r="R51" s="311" t="s">
        <v>219</v>
      </c>
      <c r="S51" s="329">
        <f>S48+S41+S34</f>
        <v>-2.0954861355672289E-12</v>
      </c>
      <c r="T51" s="330" t="s">
        <v>84</v>
      </c>
      <c r="U51" s="305"/>
      <c r="V51" s="526" t="s">
        <v>190</v>
      </c>
      <c r="W51" s="537"/>
      <c r="X51" s="537"/>
      <c r="Y51" s="524" t="s">
        <v>186</v>
      </c>
      <c r="Z51" s="98">
        <f>SQRT(Z48/Z42*10^6)</f>
        <v>1914.1649707820889</v>
      </c>
      <c r="AA51" s="90" t="s">
        <v>176</v>
      </c>
      <c r="AB51" s="348"/>
      <c r="AC51" s="309"/>
      <c r="AD51" s="378" t="s">
        <v>259</v>
      </c>
      <c r="AE51" s="338" t="s">
        <v>246</v>
      </c>
      <c r="AF51" s="279" t="s">
        <v>246</v>
      </c>
      <c r="AG51" s="340" t="s">
        <v>246</v>
      </c>
      <c r="AH51" s="379" t="s">
        <v>246</v>
      </c>
      <c r="AI51" s="189"/>
      <c r="AN51" s="130"/>
      <c r="AO51" s="130"/>
      <c r="AP51" s="130"/>
    </row>
    <row r="52" spans="14:59" ht="18" customHeight="1" x14ac:dyDescent="0.3">
      <c r="O52" s="678"/>
      <c r="P52" s="619" t="s">
        <v>169</v>
      </c>
      <c r="Q52" s="619"/>
      <c r="R52" s="312" t="s">
        <v>218</v>
      </c>
      <c r="S52" s="345">
        <f>S49+S42+S35</f>
        <v>0</v>
      </c>
      <c r="T52" s="346" t="s">
        <v>84</v>
      </c>
      <c r="V52" s="526"/>
      <c r="W52" s="537"/>
      <c r="X52" s="537"/>
      <c r="Y52" s="524"/>
      <c r="Z52" s="98">
        <f>Z51/2/PI()</f>
        <v>304.64881699332284</v>
      </c>
      <c r="AA52" s="128" t="s">
        <v>243</v>
      </c>
      <c r="AD52" s="380">
        <v>0.5</v>
      </c>
      <c r="AE52" s="280">
        <v>202.35</v>
      </c>
      <c r="AF52" s="281">
        <v>305.3</v>
      </c>
      <c r="AG52" s="267">
        <v>593.04999999999995</v>
      </c>
      <c r="AH52" s="381">
        <v>709.48</v>
      </c>
      <c r="AI52" s="189"/>
      <c r="AN52" s="130"/>
      <c r="AO52" s="130"/>
      <c r="AP52" s="130"/>
    </row>
    <row r="53" spans="14:59" ht="18" customHeight="1" x14ac:dyDescent="0.3">
      <c r="O53" s="679"/>
      <c r="P53" s="686" t="s">
        <v>154</v>
      </c>
      <c r="Q53" s="686"/>
      <c r="R53" s="132" t="s">
        <v>82</v>
      </c>
      <c r="S53" s="331">
        <f>SQRT(S51^2+S52^2)</f>
        <v>2.0954861355672289E-12</v>
      </c>
      <c r="T53" s="332" t="s">
        <v>84</v>
      </c>
      <c r="V53" s="690" t="s">
        <v>187</v>
      </c>
      <c r="W53" s="691"/>
      <c r="X53" s="691"/>
      <c r="Y53" s="173" t="s">
        <v>85</v>
      </c>
      <c r="Z53" s="102">
        <f>0.5*Z50*Z51/Z48</f>
        <v>16.975328662047001</v>
      </c>
      <c r="AA53" s="96"/>
      <c r="AD53" s="362">
        <v>0.6</v>
      </c>
      <c r="AE53" s="130">
        <v>358.29</v>
      </c>
      <c r="AF53" s="130">
        <v>495.53</v>
      </c>
      <c r="AG53" s="130">
        <v>711.65</v>
      </c>
      <c r="AH53" s="367">
        <v>665.75</v>
      </c>
      <c r="AI53" s="189"/>
      <c r="AN53" s="130"/>
      <c r="AO53" s="130"/>
      <c r="AP53" s="130"/>
    </row>
    <row r="54" spans="14:59" x14ac:dyDescent="0.3">
      <c r="Y54" s="9" t="s">
        <v>105</v>
      </c>
      <c r="Z54">
        <f>2*(L4+L5-L6-L7)*L6^3/(R18)^3/10^6</f>
        <v>63567.896872614358</v>
      </c>
      <c r="AD54" s="362">
        <v>0.7</v>
      </c>
      <c r="AE54" s="130">
        <v>524.42999999999995</v>
      </c>
      <c r="AF54" s="130">
        <v>648.45000000000005</v>
      </c>
      <c r="AG54" s="130">
        <v>678.42</v>
      </c>
      <c r="AH54" s="367">
        <v>520.74</v>
      </c>
      <c r="AI54" s="194"/>
      <c r="AN54" s="130"/>
      <c r="AO54" s="130"/>
      <c r="AP54" s="130"/>
    </row>
    <row r="55" spans="14:59" x14ac:dyDescent="0.3">
      <c r="Z55">
        <f>2*(75+125-20)*10^3/(30*10^3)^3</f>
        <v>1.3333333333333334E-8</v>
      </c>
      <c r="AD55" s="362">
        <v>0.8</v>
      </c>
      <c r="AE55" s="338">
        <v>653.02</v>
      </c>
      <c r="AF55" s="279">
        <v>713.98</v>
      </c>
      <c r="AG55" s="340">
        <v>563.14</v>
      </c>
      <c r="AH55" s="382">
        <v>375.94</v>
      </c>
      <c r="AN55" s="130"/>
      <c r="AO55" s="130"/>
      <c r="AP55" s="130"/>
      <c r="AQ55" s="201"/>
      <c r="AR55" s="201"/>
      <c r="AS55" s="201"/>
      <c r="AT55" s="201"/>
      <c r="AU55" s="201"/>
    </row>
    <row r="56" spans="14:59" x14ac:dyDescent="0.3">
      <c r="V56" s="676" t="s">
        <v>353</v>
      </c>
      <c r="W56" s="676"/>
      <c r="X56" s="676"/>
      <c r="Y56" s="676"/>
      <c r="Z56" s="676"/>
      <c r="AA56" s="676"/>
      <c r="AD56" s="362">
        <v>0.9</v>
      </c>
      <c r="AE56" s="130">
        <v>712.29</v>
      </c>
      <c r="AF56" s="130">
        <v>691.6</v>
      </c>
      <c r="AG56" s="130">
        <v>435.11</v>
      </c>
      <c r="AH56" s="367">
        <v>264.72000000000003</v>
      </c>
      <c r="AN56" s="130"/>
      <c r="AO56" s="130"/>
      <c r="AP56" s="130"/>
      <c r="AQ56" s="130"/>
      <c r="AR56" s="130"/>
      <c r="AS56" s="130"/>
      <c r="AT56" s="130"/>
    </row>
    <row r="57" spans="14:59" x14ac:dyDescent="0.3">
      <c r="V57" s="397" t="s">
        <v>354</v>
      </c>
      <c r="W57" s="18">
        <f>1-Z58^2</f>
        <v>0.99973063509196325</v>
      </c>
      <c r="X57" s="397"/>
      <c r="Y57" s="402" t="s">
        <v>355</v>
      </c>
      <c r="Z57" s="18">
        <f>F9*2*PI()</f>
        <v>31.415926535897931</v>
      </c>
      <c r="AA57" s="397" t="s">
        <v>176</v>
      </c>
      <c r="AD57" s="380">
        <v>1</v>
      </c>
      <c r="AE57" s="280">
        <v>701.69</v>
      </c>
      <c r="AF57" s="281">
        <v>614.04</v>
      </c>
      <c r="AG57" s="267">
        <v>326.04000000000002</v>
      </c>
      <c r="AH57" s="381">
        <v>186.69</v>
      </c>
      <c r="AN57" s="130"/>
      <c r="AO57" s="130"/>
      <c r="AP57" s="130"/>
      <c r="AQ57" s="130"/>
      <c r="AR57" s="130"/>
      <c r="AS57" s="130"/>
      <c r="AT57" s="130"/>
    </row>
    <row r="58" spans="14:59" s="127" customFormat="1" x14ac:dyDescent="0.3">
      <c r="U58" s="305"/>
      <c r="V58" s="397" t="s">
        <v>30</v>
      </c>
      <c r="W58" s="18">
        <f>2*Z53*Z58</f>
        <v>0.5572097351167149</v>
      </c>
      <c r="X58" s="397"/>
      <c r="Y58" s="402" t="s">
        <v>356</v>
      </c>
      <c r="Z58" s="18">
        <f>Z57/Z51</f>
        <v>1.641234011458376E-2</v>
      </c>
      <c r="AA58" s="397"/>
      <c r="AB58" s="348"/>
      <c r="AC58" s="309"/>
      <c r="AD58" s="362">
        <v>1.2</v>
      </c>
      <c r="AE58" s="338">
        <v>559.9</v>
      </c>
      <c r="AF58" s="279">
        <v>420.96</v>
      </c>
      <c r="AG58" s="340">
        <v>180.96</v>
      </c>
      <c r="AH58" s="382">
        <v>96.94</v>
      </c>
      <c r="AI58" s="188"/>
      <c r="AN58" s="130"/>
      <c r="AO58" s="130"/>
      <c r="AP58" s="130"/>
      <c r="AQ58" s="130"/>
      <c r="AR58" s="130"/>
      <c r="AS58" s="130"/>
      <c r="AT58" s="130"/>
    </row>
    <row r="59" spans="14:59" ht="15" thickBot="1" x14ac:dyDescent="0.35">
      <c r="V59" s="397" t="s">
        <v>357</v>
      </c>
      <c r="W59" s="18">
        <f>W57^2-W58^2+(Z49/Z48)^2</f>
        <v>0.76659932605975056</v>
      </c>
      <c r="X59" s="397"/>
      <c r="Y59" s="400"/>
      <c r="Z59" s="400"/>
      <c r="AA59" s="397"/>
      <c r="AD59" s="383">
        <v>1.4</v>
      </c>
      <c r="AE59" s="384">
        <v>392.7</v>
      </c>
      <c r="AF59" s="385">
        <v>269.89</v>
      </c>
      <c r="AG59" s="386">
        <v>104.07</v>
      </c>
      <c r="AH59" s="387">
        <v>54.06</v>
      </c>
      <c r="AQ59" s="127"/>
      <c r="AR59" s="127"/>
      <c r="AS59" s="127"/>
      <c r="AT59" s="127"/>
    </row>
    <row r="60" spans="14:59" x14ac:dyDescent="0.3">
      <c r="V60" s="397" t="s">
        <v>358</v>
      </c>
      <c r="W60" s="18">
        <f>4*Z53*Z58*W57</f>
        <v>1.1141192847353161</v>
      </c>
      <c r="X60" s="397"/>
      <c r="Y60" s="400"/>
      <c r="Z60" s="400"/>
      <c r="AA60" s="397"/>
      <c r="BG60" t="e">
        <f>SQRT(#REF!^2+#REF!^2)</f>
        <v>#REF!</v>
      </c>
    </row>
    <row r="61" spans="14:59" x14ac:dyDescent="0.3">
      <c r="V61" s="5" t="s">
        <v>361</v>
      </c>
      <c r="W61" s="5"/>
      <c r="X61" s="398" t="s">
        <v>362</v>
      </c>
      <c r="Y61" s="399"/>
      <c r="Z61" s="399"/>
      <c r="AA61" s="400"/>
      <c r="BB61" s="121"/>
      <c r="BG61" s="120"/>
    </row>
    <row r="62" spans="14:59" s="349" customFormat="1" x14ac:dyDescent="0.3">
      <c r="V62" s="397" t="s">
        <v>359</v>
      </c>
      <c r="W62" s="18">
        <f>(Z49/Z48)/SQRT(W57^2+W58^2)</f>
        <v>0.24342340304914412</v>
      </c>
      <c r="X62" s="408" t="s">
        <v>363</v>
      </c>
      <c r="Y62" s="98">
        <f>-1/TAN(W58/W57)</f>
        <v>-1.6044212014684434</v>
      </c>
      <c r="Z62" s="401">
        <f>DEGREES(Y62)</f>
        <v>-91.926563405450565</v>
      </c>
      <c r="AA62" s="400"/>
      <c r="AB62" s="348"/>
      <c r="AI62" s="188"/>
      <c r="BB62" s="121"/>
    </row>
    <row r="63" spans="14:59" s="349" customFormat="1" x14ac:dyDescent="0.3">
      <c r="V63" s="402" t="s">
        <v>360</v>
      </c>
      <c r="W63" s="18">
        <f>SQRT((W57^2+W58^2)/(W59^2+W60^2))</f>
        <v>0.84630533676080577</v>
      </c>
      <c r="X63" s="408" t="s">
        <v>370</v>
      </c>
      <c r="Y63" s="98">
        <f>Y62-1/TAN(W60/W59)</f>
        <v>-1.7224341318569387</v>
      </c>
      <c r="Z63" s="401">
        <f t="shared" ref="Z63:Z64" si="4">DEGREES(Y63)</f>
        <v>-98.688206244682533</v>
      </c>
      <c r="AA63" s="400"/>
      <c r="AB63" s="348"/>
      <c r="AI63" s="188"/>
      <c r="BB63" s="121"/>
    </row>
    <row r="64" spans="14:59" s="349" customFormat="1" x14ac:dyDescent="0.3">
      <c r="V64" s="402" t="s">
        <v>364</v>
      </c>
      <c r="W64" s="394">
        <f>(Z49/Z48)/SQRT(W59^2+W60^2)</f>
        <v>0.20601052509296724</v>
      </c>
      <c r="X64" s="408" t="s">
        <v>371</v>
      </c>
      <c r="Y64" s="98">
        <f>-1/TAN(W60/W59)</f>
        <v>-0.11801293038849531</v>
      </c>
      <c r="Z64" s="401">
        <f t="shared" si="4"/>
        <v>-6.7616428392319596</v>
      </c>
      <c r="AA64" s="400"/>
      <c r="AB64" s="348"/>
      <c r="AI64" s="188"/>
      <c r="BB64" s="121"/>
    </row>
    <row r="65" spans="22:59" s="349" customFormat="1" x14ac:dyDescent="0.3">
      <c r="V65" s="27" t="s">
        <v>9</v>
      </c>
      <c r="W65" s="18"/>
      <c r="X65" s="27"/>
      <c r="Y65" s="27"/>
      <c r="Z65" s="18"/>
      <c r="AA65" s="27"/>
      <c r="AB65" s="348"/>
      <c r="AI65" s="188"/>
      <c r="BB65" s="121"/>
    </row>
    <row r="66" spans="22:59" x14ac:dyDescent="0.3">
      <c r="V66" s="27"/>
      <c r="W66" s="27"/>
      <c r="X66" s="27"/>
      <c r="Y66" s="27"/>
      <c r="Z66" s="18"/>
      <c r="AA66" s="27"/>
      <c r="BB66" s="121"/>
      <c r="BG66" s="120"/>
    </row>
    <row r="67" spans="22:59" x14ac:dyDescent="0.3">
      <c r="V67" s="27"/>
      <c r="W67" s="27"/>
      <c r="X67" s="27"/>
      <c r="Y67" s="27"/>
      <c r="Z67" s="18"/>
      <c r="AA67" s="27"/>
      <c r="BB67" s="121"/>
      <c r="BG67" s="120"/>
    </row>
    <row r="68" spans="22:59" x14ac:dyDescent="0.3">
      <c r="BB68" s="121"/>
      <c r="BG68" s="120"/>
    </row>
    <row r="69" spans="22:59" x14ac:dyDescent="0.3">
      <c r="X69" s="27" t="s">
        <v>283</v>
      </c>
      <c r="BB69" s="121"/>
      <c r="BG69" s="120"/>
    </row>
    <row r="70" spans="22:59" x14ac:dyDescent="0.3">
      <c r="X70" s="27">
        <f>64/3*L30/PI()/L31^4*(L4/L6+L5/L7-3)</f>
        <v>27930.265689661748</v>
      </c>
      <c r="BB70" s="121"/>
      <c r="BG70" s="120"/>
    </row>
    <row r="71" spans="22:59" x14ac:dyDescent="0.3">
      <c r="BB71" s="121"/>
      <c r="BG71" s="120"/>
    </row>
    <row r="72" spans="22:59" x14ac:dyDescent="0.3">
      <c r="W72" t="s">
        <v>284</v>
      </c>
      <c r="X72" s="242" t="s">
        <v>287</v>
      </c>
      <c r="Y72" t="s">
        <v>285</v>
      </c>
      <c r="BB72" s="121"/>
      <c r="BG72" s="120"/>
    </row>
    <row r="73" spans="22:59" x14ac:dyDescent="0.3">
      <c r="W73"/>
      <c r="X73" s="31"/>
      <c r="Y73" s="31"/>
      <c r="BB73" s="121"/>
      <c r="BG73" s="120"/>
    </row>
    <row r="74" spans="22:59" x14ac:dyDescent="0.3">
      <c r="W74">
        <v>5.0000000000000001E-3</v>
      </c>
      <c r="X74" s="31"/>
      <c r="Y74" s="31"/>
      <c r="BB74" s="121"/>
      <c r="BG74" s="120"/>
    </row>
    <row r="75" spans="22:59" x14ac:dyDescent="0.3">
      <c r="W75" s="176">
        <v>0.01</v>
      </c>
      <c r="X75" s="31">
        <f>$X$70*W75^2*(1+$X$70*W75^3)/((1+$X$70*W75^3)^2)/1000</f>
        <v>2.7171362320889247E-3</v>
      </c>
      <c r="Y75" s="31">
        <f t="shared" ref="Y75:Y89" si="5">$X$70*W75^2*(1+$X$70*W75^3)/((1+$X$70*W75^3)^2)/1000*AS14/10000</f>
        <v>0</v>
      </c>
      <c r="Z75" s="31">
        <f>$X$70*W75^2*(1+$X$70*W75^3)/((1+$X$70*W75^3)^2)*30</f>
        <v>81.514086962667733</v>
      </c>
      <c r="AA75" s="367">
        <v>0.01</v>
      </c>
      <c r="BB75" s="121"/>
      <c r="BG75" s="120"/>
    </row>
    <row r="76" spans="22:59" x14ac:dyDescent="0.3">
      <c r="W76" s="176">
        <v>1.4999999999999999E-2</v>
      </c>
      <c r="X76" s="31">
        <f t="shared" ref="X76:X96" si="6">$X$70*W76^2*(1+$X$70*W76^3)/((1+$X$70*W76^3)^2)/1000</f>
        <v>5.7429524010582404E-3</v>
      </c>
      <c r="Y76" s="31">
        <f t="shared" si="5"/>
        <v>0</v>
      </c>
      <c r="Z76" s="31">
        <f t="shared" ref="Z76:Z89" si="7">$X$70*W76^2*(1+$X$70*W76^3)/((1+$X$70*W76^3)^2)*30</f>
        <v>172.28857203174721</v>
      </c>
      <c r="AA76" s="367">
        <v>1.4999999999999999E-2</v>
      </c>
      <c r="BB76" s="121"/>
      <c r="BG76" s="120"/>
    </row>
    <row r="77" spans="22:59" x14ac:dyDescent="0.3">
      <c r="W77" s="176">
        <v>0.02</v>
      </c>
      <c r="X77" s="31">
        <f t="shared" si="6"/>
        <v>9.131699851466963E-3</v>
      </c>
      <c r="Y77" s="31">
        <f t="shared" si="5"/>
        <v>0</v>
      </c>
      <c r="Z77" s="31">
        <f t="shared" si="7"/>
        <v>273.95099554400889</v>
      </c>
      <c r="AA77" s="367">
        <v>0.02</v>
      </c>
      <c r="BB77" s="121"/>
      <c r="BG77" s="120"/>
    </row>
    <row r="78" spans="22:59" x14ac:dyDescent="0.3">
      <c r="W78" s="176">
        <v>2.5000000000000001E-2</v>
      </c>
      <c r="X78" s="31">
        <f t="shared" si="6"/>
        <v>1.2152805381395834E-2</v>
      </c>
      <c r="Y78" s="31">
        <f t="shared" si="5"/>
        <v>0</v>
      </c>
      <c r="Z78" s="31">
        <f t="shared" si="7"/>
        <v>364.58416144187504</v>
      </c>
      <c r="AA78" s="367">
        <v>2.5000000000000001E-2</v>
      </c>
      <c r="BB78" s="121"/>
      <c r="BG78" s="120"/>
    </row>
    <row r="79" spans="22:59" x14ac:dyDescent="0.3">
      <c r="W79" s="176">
        <v>0.03</v>
      </c>
      <c r="X79" s="31">
        <f t="shared" si="6"/>
        <v>1.4330421877580171E-2</v>
      </c>
      <c r="Y79" s="31">
        <f t="shared" si="5"/>
        <v>0</v>
      </c>
      <c r="Z79" s="31">
        <f t="shared" si="7"/>
        <v>429.91265632740516</v>
      </c>
      <c r="AA79" s="367">
        <v>0.03</v>
      </c>
      <c r="BB79" s="121"/>
      <c r="BG79" s="120"/>
    </row>
    <row r="80" spans="22:59" x14ac:dyDescent="0.3">
      <c r="W80" s="176">
        <v>3.5000000000000003E-2</v>
      </c>
      <c r="X80" s="31">
        <f t="shared" si="6"/>
        <v>1.5569700828479064E-2</v>
      </c>
      <c r="Y80" s="31">
        <f t="shared" si="5"/>
        <v>0</v>
      </c>
      <c r="Z80" s="31">
        <f t="shared" si="7"/>
        <v>467.09102485437194</v>
      </c>
      <c r="AA80" s="367">
        <v>3.5000000000000003E-2</v>
      </c>
      <c r="BB80" s="121"/>
      <c r="BG80" s="120"/>
    </row>
    <row r="81" spans="15:59" x14ac:dyDescent="0.3">
      <c r="W81" s="176">
        <v>0.04</v>
      </c>
      <c r="X81" s="31">
        <f t="shared" si="6"/>
        <v>1.6031509191488675E-2</v>
      </c>
      <c r="Y81" s="31">
        <f t="shared" si="5"/>
        <v>0</v>
      </c>
      <c r="Z81" s="31">
        <f t="shared" si="7"/>
        <v>480.94527574466019</v>
      </c>
      <c r="AA81" s="367">
        <v>0.04</v>
      </c>
      <c r="BB81" s="121"/>
      <c r="BG81" s="120"/>
    </row>
    <row r="82" spans="15:59" x14ac:dyDescent="0.3">
      <c r="W82" s="176">
        <v>4.4999999999999998E-2</v>
      </c>
      <c r="X82" s="31">
        <f t="shared" si="6"/>
        <v>1.595386949399898E-2</v>
      </c>
      <c r="Y82" s="31">
        <f t="shared" si="5"/>
        <v>0</v>
      </c>
      <c r="Z82" s="31">
        <f t="shared" si="7"/>
        <v>478.61608481996939</v>
      </c>
      <c r="AA82" s="367">
        <v>4.4999999999999998E-2</v>
      </c>
      <c r="BB82" s="121"/>
      <c r="BG82" s="120"/>
    </row>
    <row r="83" spans="15:59" x14ac:dyDescent="0.3">
      <c r="W83" s="176">
        <v>0.05</v>
      </c>
      <c r="X83" s="31">
        <f t="shared" si="6"/>
        <v>1.5546929672550768E-2</v>
      </c>
      <c r="Y83" s="31">
        <f t="shared" si="5"/>
        <v>0</v>
      </c>
      <c r="Z83" s="31">
        <f t="shared" si="7"/>
        <v>466.40789017652304</v>
      </c>
      <c r="AA83" s="367">
        <v>0.05</v>
      </c>
      <c r="BB83" s="121"/>
      <c r="BG83" s="120"/>
    </row>
    <row r="84" spans="15:59" x14ac:dyDescent="0.3">
      <c r="W84" s="176">
        <v>5.5E-2</v>
      </c>
      <c r="X84" s="31">
        <f t="shared" si="6"/>
        <v>1.4962029489061517E-2</v>
      </c>
      <c r="Y84" s="31">
        <f t="shared" si="5"/>
        <v>0</v>
      </c>
      <c r="Z84" s="31">
        <f t="shared" si="7"/>
        <v>448.86088467184555</v>
      </c>
      <c r="AA84" s="367">
        <v>5.5E-2</v>
      </c>
      <c r="BB84" s="121"/>
      <c r="BG84" s="120" t="e">
        <f>SQRT(#REF!^2+#REF!^2)</f>
        <v>#REF!</v>
      </c>
    </row>
    <row r="85" spans="15:59" x14ac:dyDescent="0.3">
      <c r="W85" s="176">
        <v>0.06</v>
      </c>
      <c r="X85" s="31">
        <f t="shared" si="6"/>
        <v>1.4296865011271177E-2</v>
      </c>
      <c r="Y85" s="31">
        <f t="shared" si="5"/>
        <v>0</v>
      </c>
      <c r="Z85" s="31">
        <f t="shared" si="7"/>
        <v>428.90595033813537</v>
      </c>
      <c r="AA85" s="367">
        <v>0.06</v>
      </c>
    </row>
    <row r="86" spans="15:59" x14ac:dyDescent="0.3">
      <c r="W86" s="176">
        <v>6.5000000000000002E-2</v>
      </c>
      <c r="X86" s="31">
        <f t="shared" si="6"/>
        <v>1.3610221412345155E-2</v>
      </c>
      <c r="Y86" s="31">
        <f t="shared" si="5"/>
        <v>0</v>
      </c>
      <c r="Z86" s="31">
        <f t="shared" si="7"/>
        <v>408.30664237035467</v>
      </c>
      <c r="AA86" s="367">
        <v>6.5000000000000002E-2</v>
      </c>
    </row>
    <row r="87" spans="15:59" ht="15" thickBot="1" x14ac:dyDescent="0.35">
      <c r="W87" s="176">
        <v>7.0000000000000007E-2</v>
      </c>
      <c r="X87" s="31">
        <f t="shared" si="6"/>
        <v>1.2935468091182878E-2</v>
      </c>
      <c r="Y87" s="31">
        <f t="shared" si="5"/>
        <v>0</v>
      </c>
      <c r="Z87" s="31">
        <f t="shared" si="7"/>
        <v>388.06404273548634</v>
      </c>
      <c r="AA87" s="369">
        <v>7.0000000000000007E-2</v>
      </c>
    </row>
    <row r="88" spans="15:59" x14ac:dyDescent="0.3">
      <c r="W88" s="176">
        <v>7.4999999999999997E-2</v>
      </c>
      <c r="X88" s="31">
        <f t="shared" si="6"/>
        <v>1.2290287959335615E-2</v>
      </c>
      <c r="Y88" s="31">
        <f t="shared" si="5"/>
        <v>0</v>
      </c>
      <c r="Z88" s="31">
        <f t="shared" si="7"/>
        <v>368.70863878006844</v>
      </c>
    </row>
    <row r="89" spans="15:59" x14ac:dyDescent="0.3">
      <c r="W89" s="176">
        <v>0.08</v>
      </c>
      <c r="X89" s="31">
        <f t="shared" si="6"/>
        <v>1.1683022343296332E-2</v>
      </c>
      <c r="Y89" s="31">
        <f t="shared" si="5"/>
        <v>0</v>
      </c>
      <c r="Z89" s="31">
        <f t="shared" si="7"/>
        <v>350.49067029888994</v>
      </c>
    </row>
    <row r="90" spans="15:59" x14ac:dyDescent="0.3">
      <c r="W90" s="176">
        <v>8.5000000000000006E-2</v>
      </c>
      <c r="X90" s="31">
        <f t="shared" si="6"/>
        <v>1.1116608218487315E-2</v>
      </c>
    </row>
    <row r="91" spans="15:59" x14ac:dyDescent="0.3">
      <c r="W91" s="176">
        <v>0.09</v>
      </c>
      <c r="X91" s="31">
        <f t="shared" si="6"/>
        <v>1.0590956344567375E-2</v>
      </c>
    </row>
    <row r="92" spans="15:59" x14ac:dyDescent="0.3">
      <c r="W92" s="176">
        <v>9.5000000000000001E-2</v>
      </c>
      <c r="X92" s="31">
        <f t="shared" si="6"/>
        <v>1.0104363751017573E-2</v>
      </c>
    </row>
    <row r="93" spans="15:59" x14ac:dyDescent="0.3">
      <c r="W93" s="176">
        <v>0.1</v>
      </c>
      <c r="X93" s="31">
        <f t="shared" si="6"/>
        <v>9.6543412318686878E-3</v>
      </c>
    </row>
    <row r="94" spans="15:59" x14ac:dyDescent="0.3">
      <c r="W94" s="176">
        <v>0.105</v>
      </c>
      <c r="X94" s="31">
        <f t="shared" si="6"/>
        <v>9.2380904421775472E-3</v>
      </c>
    </row>
    <row r="95" spans="15:59" x14ac:dyDescent="0.3">
      <c r="O95" s="543" t="s">
        <v>240</v>
      </c>
      <c r="P95" s="544"/>
      <c r="Q95" s="544"/>
      <c r="R95" s="544"/>
      <c r="S95" s="545"/>
      <c r="W95" s="176">
        <v>0.11</v>
      </c>
      <c r="X95" s="31">
        <f t="shared" si="6"/>
        <v>8.8527724737203044E-3</v>
      </c>
    </row>
    <row r="96" spans="15:59" x14ac:dyDescent="0.3">
      <c r="O96" s="698" t="s">
        <v>92</v>
      </c>
      <c r="P96" s="699"/>
      <c r="Q96" s="138" t="s">
        <v>221</v>
      </c>
      <c r="R96" s="139">
        <f>K18/10^6*L10/(1+R98)</f>
        <v>17619.367819241543</v>
      </c>
      <c r="S96" s="140" t="s">
        <v>84</v>
      </c>
      <c r="W96" s="176">
        <v>0.115</v>
      </c>
      <c r="X96" s="31">
        <f t="shared" si="6"/>
        <v>8.4956530109310553E-3</v>
      </c>
    </row>
    <row r="97" spans="15:19" x14ac:dyDescent="0.3">
      <c r="O97" s="673">
        <v>1</v>
      </c>
      <c r="P97" s="141" t="s">
        <v>83</v>
      </c>
      <c r="Q97" s="142" t="s">
        <v>222</v>
      </c>
      <c r="R97" s="142">
        <f>K18/10^6*L10/(1+R98*R99^3)</f>
        <v>17619.367819241543</v>
      </c>
      <c r="S97" s="143" t="s">
        <v>84</v>
      </c>
    </row>
    <row r="98" spans="15:19" x14ac:dyDescent="0.3">
      <c r="O98" s="674"/>
      <c r="P98" s="144" t="s">
        <v>96</v>
      </c>
      <c r="Q98" s="145" t="s">
        <v>85</v>
      </c>
      <c r="R98" s="139">
        <f>L32/R1</f>
        <v>0.75411717362086694</v>
      </c>
      <c r="S98" s="140"/>
    </row>
    <row r="99" spans="15:19" x14ac:dyDescent="0.3">
      <c r="O99" s="674"/>
      <c r="P99" s="144" t="s">
        <v>223</v>
      </c>
      <c r="Q99" s="138" t="s">
        <v>224</v>
      </c>
      <c r="R99" s="139">
        <f>R19/R18</f>
        <v>1</v>
      </c>
      <c r="S99" s="140"/>
    </row>
    <row r="100" spans="15:19" x14ac:dyDescent="0.3">
      <c r="O100" s="675"/>
      <c r="P100" s="146"/>
      <c r="Q100" s="147" t="s">
        <v>225</v>
      </c>
      <c r="R100" s="139">
        <f>RADIANS(90)</f>
        <v>1.5707963267948966</v>
      </c>
      <c r="S100" s="148" t="s">
        <v>39</v>
      </c>
    </row>
    <row r="101" spans="15:19" x14ac:dyDescent="0.3">
      <c r="O101" s="673">
        <v>2</v>
      </c>
      <c r="P101" s="141" t="s">
        <v>83</v>
      </c>
      <c r="Q101" s="149" t="s">
        <v>226</v>
      </c>
      <c r="R101" s="150">
        <f>K18/10^6*L10/(1+R102*R103^3)</f>
        <v>17619.367819241543</v>
      </c>
      <c r="S101" s="143" t="s">
        <v>84</v>
      </c>
    </row>
    <row r="102" spans="15:19" x14ac:dyDescent="0.3">
      <c r="O102" s="674"/>
      <c r="P102" s="144" t="s">
        <v>96</v>
      </c>
      <c r="Q102" s="145" t="s">
        <v>85</v>
      </c>
      <c r="R102" s="139">
        <f>L32/R3</f>
        <v>0.75411717362086694</v>
      </c>
      <c r="S102" s="140"/>
    </row>
    <row r="103" spans="15:19" x14ac:dyDescent="0.3">
      <c r="O103" s="674"/>
      <c r="P103" s="144" t="s">
        <v>227</v>
      </c>
      <c r="Q103" s="138" t="s">
        <v>228</v>
      </c>
      <c r="R103" s="139">
        <f>R20/R18</f>
        <v>1</v>
      </c>
      <c r="S103" s="140"/>
    </row>
    <row r="104" spans="15:19" x14ac:dyDescent="0.3">
      <c r="O104" s="675"/>
      <c r="P104" s="151"/>
      <c r="Q104" s="147" t="s">
        <v>229</v>
      </c>
      <c r="R104" s="139">
        <f>RADIANS(90+120)</f>
        <v>3.6651914291880923</v>
      </c>
      <c r="S104" s="152" t="s">
        <v>39</v>
      </c>
    </row>
    <row r="105" spans="15:19" x14ac:dyDescent="0.3">
      <c r="O105" s="673">
        <v>3</v>
      </c>
      <c r="P105" s="141" t="s">
        <v>83</v>
      </c>
      <c r="Q105" s="149" t="s">
        <v>230</v>
      </c>
      <c r="R105" s="150">
        <f>K18/10^6*L10/(1+R106*R107^3)</f>
        <v>17619.367819241543</v>
      </c>
      <c r="S105" s="153" t="s">
        <v>84</v>
      </c>
    </row>
    <row r="106" spans="15:19" x14ac:dyDescent="0.3">
      <c r="O106" s="674"/>
      <c r="P106" s="144" t="s">
        <v>96</v>
      </c>
      <c r="Q106" s="145" t="s">
        <v>85</v>
      </c>
      <c r="R106" s="139">
        <f>L32/R5</f>
        <v>0.75411717362086694</v>
      </c>
      <c r="S106" s="140"/>
    </row>
    <row r="107" spans="15:19" x14ac:dyDescent="0.3">
      <c r="O107" s="674"/>
      <c r="P107" s="144" t="s">
        <v>227</v>
      </c>
      <c r="Q107" s="138" t="s">
        <v>231</v>
      </c>
      <c r="R107" s="139">
        <f>R21/R18</f>
        <v>1</v>
      </c>
      <c r="S107" s="140"/>
    </row>
    <row r="108" spans="15:19" x14ac:dyDescent="0.3">
      <c r="O108" s="675"/>
      <c r="P108" s="151"/>
      <c r="Q108" s="154" t="s">
        <v>153</v>
      </c>
      <c r="R108" s="155">
        <f>RADIANS(90+120+120)</f>
        <v>5.7595865315812871</v>
      </c>
      <c r="S108" s="152" t="s">
        <v>39</v>
      </c>
    </row>
    <row r="109" spans="15:19" x14ac:dyDescent="0.3">
      <c r="O109" s="156" t="s">
        <v>151</v>
      </c>
      <c r="P109" s="157"/>
      <c r="Q109" s="158" t="s">
        <v>232</v>
      </c>
      <c r="R109" s="159">
        <f>R97*COS(R100)+R101*COS(R104)+R105*COS(R108)</f>
        <v>0</v>
      </c>
      <c r="S109" s="160" t="s">
        <v>84</v>
      </c>
    </row>
    <row r="110" spans="15:19" x14ac:dyDescent="0.3">
      <c r="O110" s="161" t="s">
        <v>152</v>
      </c>
      <c r="P110" s="162"/>
      <c r="Q110" s="147" t="s">
        <v>233</v>
      </c>
      <c r="R110" s="163">
        <f>R97*SIN(R100)+R101*SIN(R104)+R105*SIN(R108)</f>
        <v>0</v>
      </c>
      <c r="S110" s="148" t="s">
        <v>84</v>
      </c>
    </row>
    <row r="111" spans="15:19" ht="15.6" x14ac:dyDescent="0.3">
      <c r="O111" s="164" t="s">
        <v>154</v>
      </c>
      <c r="P111" s="165"/>
      <c r="Q111" s="166" t="s">
        <v>82</v>
      </c>
      <c r="R111" s="167">
        <f>SQRT(R109^2+R110^2)</f>
        <v>0</v>
      </c>
      <c r="S111" s="168" t="s">
        <v>84</v>
      </c>
    </row>
  </sheetData>
  <mergeCells count="164">
    <mergeCell ref="AI1:AM2"/>
    <mergeCell ref="A7:B7"/>
    <mergeCell ref="W25:AA25"/>
    <mergeCell ref="AS10:AY10"/>
    <mergeCell ref="AW11:AY11"/>
    <mergeCell ref="AQ1:AT2"/>
    <mergeCell ref="D20:G20"/>
    <mergeCell ref="S5:S6"/>
    <mergeCell ref="O19:P19"/>
    <mergeCell ref="O16:S17"/>
    <mergeCell ref="O20:P20"/>
    <mergeCell ref="O22:O24"/>
    <mergeCell ref="I20:I21"/>
    <mergeCell ref="I22:I23"/>
    <mergeCell ref="I24:I25"/>
    <mergeCell ref="J18:J19"/>
    <mergeCell ref="J20:J21"/>
    <mergeCell ref="J22:J23"/>
    <mergeCell ref="J24:J25"/>
    <mergeCell ref="A4:B4"/>
    <mergeCell ref="A5:B5"/>
    <mergeCell ref="A6:B6"/>
    <mergeCell ref="D25:D26"/>
    <mergeCell ref="E25:E26"/>
    <mergeCell ref="E41:E42"/>
    <mergeCell ref="D37:D42"/>
    <mergeCell ref="I38:J39"/>
    <mergeCell ref="K38:K39"/>
    <mergeCell ref="K32:K33"/>
    <mergeCell ref="D35:G36"/>
    <mergeCell ref="D33:D34"/>
    <mergeCell ref="E33:E34"/>
    <mergeCell ref="D32:G32"/>
    <mergeCell ref="I36:J37"/>
    <mergeCell ref="E37:E38"/>
    <mergeCell ref="E39:E40"/>
    <mergeCell ref="I6:J7"/>
    <mergeCell ref="D14:E18"/>
    <mergeCell ref="F14:F18"/>
    <mergeCell ref="G14:G18"/>
    <mergeCell ref="D21:G21"/>
    <mergeCell ref="D8:D10"/>
    <mergeCell ref="E8:E10"/>
    <mergeCell ref="I12:J13"/>
    <mergeCell ref="I8:J8"/>
    <mergeCell ref="I9:J9"/>
    <mergeCell ref="I15:L15"/>
    <mergeCell ref="I10:J11"/>
    <mergeCell ref="I26:I27"/>
    <mergeCell ref="J26:J27"/>
    <mergeCell ref="D1:G2"/>
    <mergeCell ref="I1:M2"/>
    <mergeCell ref="I3:J3"/>
    <mergeCell ref="K12:K13"/>
    <mergeCell ref="K10:K11"/>
    <mergeCell ref="M10:M11"/>
    <mergeCell ref="O96:P96"/>
    <mergeCell ref="O95:S95"/>
    <mergeCell ref="K36:K37"/>
    <mergeCell ref="L36:L37"/>
    <mergeCell ref="I34:J35"/>
    <mergeCell ref="R3:R4"/>
    <mergeCell ref="S3:S4"/>
    <mergeCell ref="R1:R2"/>
    <mergeCell ref="S1:S2"/>
    <mergeCell ref="R5:R6"/>
    <mergeCell ref="I18:I19"/>
    <mergeCell ref="M32:M33"/>
    <mergeCell ref="I41:I43"/>
    <mergeCell ref="J41:J43"/>
    <mergeCell ref="K41:K43"/>
    <mergeCell ref="I4:J4"/>
    <mergeCell ref="I30:J30"/>
    <mergeCell ref="I31:J31"/>
    <mergeCell ref="L38:L39"/>
    <mergeCell ref="M38:M39"/>
    <mergeCell ref="L41:L43"/>
    <mergeCell ref="L34:L35"/>
    <mergeCell ref="L32:L33"/>
    <mergeCell ref="V53:X53"/>
    <mergeCell ref="V48:X48"/>
    <mergeCell ref="V50:X50"/>
    <mergeCell ref="V49:X49"/>
    <mergeCell ref="W39:X39"/>
    <mergeCell ref="W34:W35"/>
    <mergeCell ref="W36:W37"/>
    <mergeCell ref="X34:X35"/>
    <mergeCell ref="W32:W33"/>
    <mergeCell ref="X32:X33"/>
    <mergeCell ref="V42:X42"/>
    <mergeCell ref="V41:AA41"/>
    <mergeCell ref="V43:X43"/>
    <mergeCell ref="V44:X46"/>
    <mergeCell ref="V47:X47"/>
    <mergeCell ref="M36:M37"/>
    <mergeCell ref="M34:M35"/>
    <mergeCell ref="AJ34:AJ35"/>
    <mergeCell ref="AK34:AK35"/>
    <mergeCell ref="AL34:AL35"/>
    <mergeCell ref="O105:O108"/>
    <mergeCell ref="Y32:Y33"/>
    <mergeCell ref="Y30:Y31"/>
    <mergeCell ref="Y51:Y52"/>
    <mergeCell ref="Y36:Y37"/>
    <mergeCell ref="X36:X37"/>
    <mergeCell ref="O97:O100"/>
    <mergeCell ref="O101:O104"/>
    <mergeCell ref="Y34:Y35"/>
    <mergeCell ref="V56:AA56"/>
    <mergeCell ref="P34:Q34"/>
    <mergeCell ref="P36:Q36"/>
    <mergeCell ref="O37:O43"/>
    <mergeCell ref="P37:P38"/>
    <mergeCell ref="P39:P40"/>
    <mergeCell ref="P41:Q41"/>
    <mergeCell ref="P42:Q42"/>
    <mergeCell ref="P43:Q43"/>
    <mergeCell ref="O30:O36"/>
    <mergeCell ref="O51:O53"/>
    <mergeCell ref="P53:Q53"/>
    <mergeCell ref="AJ18:AM18"/>
    <mergeCell ref="AM3:AM17"/>
    <mergeCell ref="AJ11:AL11"/>
    <mergeCell ref="AJ3:AL3"/>
    <mergeCell ref="AN34:AP34"/>
    <mergeCell ref="AJ33:AY33"/>
    <mergeCell ref="I32:J33"/>
    <mergeCell ref="K34:K35"/>
    <mergeCell ref="I29:M29"/>
    <mergeCell ref="O14:S14"/>
    <mergeCell ref="O18:P18"/>
    <mergeCell ref="W30:X31"/>
    <mergeCell ref="O21:P21"/>
    <mergeCell ref="AW34:AY34"/>
    <mergeCell ref="I5:J5"/>
    <mergeCell ref="AT34:AV34"/>
    <mergeCell ref="AM34:AM35"/>
    <mergeCell ref="AQ34:AS34"/>
    <mergeCell ref="V29:AA29"/>
    <mergeCell ref="AQ11:AU11"/>
    <mergeCell ref="P30:P31"/>
    <mergeCell ref="O29:T29"/>
    <mergeCell ref="P32:P33"/>
    <mergeCell ref="P35:Q35"/>
    <mergeCell ref="AD6:AG6"/>
    <mergeCell ref="AD7:AG7"/>
    <mergeCell ref="N6:N7"/>
    <mergeCell ref="AD26:AG26"/>
    <mergeCell ref="AD25:AG25"/>
    <mergeCell ref="W6:X6"/>
    <mergeCell ref="Y6:Z6"/>
    <mergeCell ref="W5:Z5"/>
    <mergeCell ref="O28:Q28"/>
    <mergeCell ref="V30:V38"/>
    <mergeCell ref="AD49:AH49"/>
    <mergeCell ref="P52:Q52"/>
    <mergeCell ref="P51:Q51"/>
    <mergeCell ref="V51:X52"/>
    <mergeCell ref="O44:O50"/>
    <mergeCell ref="P44:P45"/>
    <mergeCell ref="P46:P47"/>
    <mergeCell ref="P48:Q48"/>
    <mergeCell ref="P49:Q49"/>
    <mergeCell ref="P50:Q50"/>
  </mergeCells>
  <phoneticPr fontId="36" type="noConversion"/>
  <conditionalFormatting sqref="R18 R8">
    <cfRule type="cellIs" dxfId="2" priority="5" operator="lessThan">
      <formula>$F$14</formula>
    </cfRule>
  </conditionalFormatting>
  <conditionalFormatting sqref="Z32:Z37">
    <cfRule type="cellIs" dxfId="1" priority="2" operator="lessThan">
      <formula>1</formula>
    </cfRule>
  </conditionalFormatting>
  <conditionalFormatting sqref="S28">
    <cfRule type="cellIs" dxfId="0" priority="1" operator="lessThan">
      <formula>1</formula>
    </cfRule>
  </conditionalFormatting>
  <hyperlinks>
    <hyperlink ref="V1" r:id="rId1" xr:uid="{3F967B8F-096B-4856-8396-F42DF8E24EB4}"/>
  </hyperlinks>
  <pageMargins left="0.7" right="0.7" top="0.75" bottom="0.75" header="0.3" footer="0.3"/>
  <pageSetup paperSize="9" orientation="portrait" horizontalDpi="4294967293" verticalDpi="4294967293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A8D2D-5931-459A-AFFD-C7DACAB0DBC6}">
  <sheetPr>
    <tabColor rgb="FFFFC000"/>
  </sheetPr>
  <dimension ref="A3:I29"/>
  <sheetViews>
    <sheetView zoomScaleNormal="100" workbookViewId="0">
      <selection activeCell="F24" sqref="F24"/>
    </sheetView>
  </sheetViews>
  <sheetFormatPr defaultRowHeight="14.4" x14ac:dyDescent="0.3"/>
  <cols>
    <col min="2" max="2" width="11.21875" customWidth="1"/>
    <col min="3" max="3" width="11.88671875" customWidth="1"/>
    <col min="4" max="4" width="13.88671875" customWidth="1"/>
    <col min="5" max="5" width="17" customWidth="1"/>
    <col min="6" max="6" width="19" customWidth="1"/>
  </cols>
  <sheetData>
    <row r="3" spans="1:9" x14ac:dyDescent="0.3">
      <c r="A3" s="736" t="s">
        <v>420</v>
      </c>
      <c r="B3" s="737"/>
      <c r="C3" s="737"/>
      <c r="D3" s="737"/>
      <c r="E3" s="737"/>
      <c r="F3" s="738"/>
      <c r="G3" s="27"/>
      <c r="H3" s="27"/>
      <c r="I3" s="27"/>
    </row>
    <row r="4" spans="1:9" x14ac:dyDescent="0.3">
      <c r="A4" s="731" t="s">
        <v>414</v>
      </c>
      <c r="B4" s="732"/>
      <c r="C4" s="732"/>
      <c r="D4" s="732"/>
      <c r="E4" s="732"/>
      <c r="F4" s="733"/>
      <c r="G4" s="27"/>
      <c r="H4" s="27"/>
      <c r="I4" s="27"/>
    </row>
    <row r="5" spans="1:9" s="412" customFormat="1" x14ac:dyDescent="0.3">
      <c r="A5" s="734" t="s">
        <v>413</v>
      </c>
      <c r="B5" s="735"/>
      <c r="C5" s="735"/>
      <c r="D5" s="735"/>
      <c r="E5" s="729" t="s">
        <v>415</v>
      </c>
      <c r="F5" s="730"/>
      <c r="G5" s="397"/>
      <c r="H5" s="397"/>
      <c r="I5" s="397"/>
    </row>
    <row r="6" spans="1:9" ht="28.8" x14ac:dyDescent="0.3">
      <c r="A6" s="452" t="s">
        <v>179</v>
      </c>
      <c r="B6" s="403" t="s">
        <v>417</v>
      </c>
      <c r="C6" s="447" t="s">
        <v>416</v>
      </c>
      <c r="D6" s="449" t="s">
        <v>418</v>
      </c>
      <c r="E6" s="136" t="s">
        <v>412</v>
      </c>
      <c r="F6" s="448" t="s">
        <v>419</v>
      </c>
      <c r="G6" s="27"/>
      <c r="H6" s="27"/>
      <c r="I6" s="27"/>
    </row>
    <row r="7" spans="1:9" x14ac:dyDescent="0.3">
      <c r="A7" s="217">
        <v>5.4</v>
      </c>
      <c r="B7" s="410">
        <v>18</v>
      </c>
      <c r="C7" s="410">
        <v>15.08</v>
      </c>
      <c r="D7" s="388">
        <v>7.5</v>
      </c>
      <c r="E7" s="409">
        <v>12.05</v>
      </c>
      <c r="F7" s="411">
        <v>6.59</v>
      </c>
      <c r="I7" s="27"/>
    </row>
    <row r="8" spans="1:9" x14ac:dyDescent="0.3">
      <c r="A8" s="426">
        <v>5.4</v>
      </c>
      <c r="B8" s="427">
        <f>B7</f>
        <v>18</v>
      </c>
      <c r="C8" s="427">
        <f>C7</f>
        <v>15.08</v>
      </c>
      <c r="D8" s="431">
        <v>9.5</v>
      </c>
      <c r="E8" s="427">
        <v>10.7</v>
      </c>
      <c r="F8" s="219">
        <v>5.77</v>
      </c>
      <c r="I8" s="27"/>
    </row>
    <row r="9" spans="1:9" x14ac:dyDescent="0.3">
      <c r="A9" s="428">
        <v>5.4</v>
      </c>
      <c r="B9" s="429">
        <v>21</v>
      </c>
      <c r="C9" s="429">
        <f>C8</f>
        <v>15.08</v>
      </c>
      <c r="D9" s="450">
        <v>7.5</v>
      </c>
      <c r="E9" s="58">
        <v>9.08</v>
      </c>
      <c r="F9" s="430">
        <v>5.05</v>
      </c>
      <c r="I9" s="27"/>
    </row>
    <row r="10" spans="1:9" x14ac:dyDescent="0.3">
      <c r="A10" s="426">
        <v>5.4</v>
      </c>
      <c r="B10" s="427">
        <v>21</v>
      </c>
      <c r="C10" s="427">
        <f>C9</f>
        <v>15.08</v>
      </c>
      <c r="D10" s="431">
        <v>9.5</v>
      </c>
      <c r="E10" s="427">
        <v>8.1</v>
      </c>
      <c r="F10" s="431">
        <v>4.4000000000000004</v>
      </c>
      <c r="I10" s="27"/>
    </row>
    <row r="11" spans="1:9" x14ac:dyDescent="0.3">
      <c r="A11" s="214">
        <v>5.4</v>
      </c>
      <c r="B11" s="432">
        <v>21</v>
      </c>
      <c r="C11" s="432">
        <v>15.08</v>
      </c>
      <c r="D11" s="48">
        <v>10.5</v>
      </c>
      <c r="E11" s="9">
        <v>7.78</v>
      </c>
      <c r="F11" s="48">
        <v>4.2300000000000004</v>
      </c>
      <c r="I11" s="27"/>
    </row>
    <row r="12" spans="1:9" x14ac:dyDescent="0.3">
      <c r="A12" s="214">
        <v>5.4</v>
      </c>
      <c r="B12" s="432">
        <v>18</v>
      </c>
      <c r="C12" s="432">
        <v>16.079999999999998</v>
      </c>
      <c r="D12" s="433">
        <v>7.5</v>
      </c>
      <c r="E12" s="432">
        <v>11.58</v>
      </c>
      <c r="F12" s="433">
        <v>6.35</v>
      </c>
      <c r="I12" s="27"/>
    </row>
    <row r="13" spans="1:9" x14ac:dyDescent="0.3">
      <c r="A13" s="434">
        <v>6.4</v>
      </c>
      <c r="B13" s="435">
        <v>18</v>
      </c>
      <c r="C13" s="435">
        <v>16.079999999999998</v>
      </c>
      <c r="D13" s="451">
        <v>7.5</v>
      </c>
      <c r="E13" s="436">
        <v>11.34</v>
      </c>
      <c r="F13" s="267">
        <v>6.19</v>
      </c>
      <c r="I13" s="27"/>
    </row>
    <row r="14" spans="1:9" s="397" customFormat="1" x14ac:dyDescent="0.3">
      <c r="A14" s="217">
        <f>A13</f>
        <v>6.4</v>
      </c>
      <c r="B14" s="410">
        <f>B13</f>
        <v>18</v>
      </c>
      <c r="C14" s="410">
        <f>C13</f>
        <v>16.079999999999998</v>
      </c>
      <c r="D14" s="388">
        <v>9.5</v>
      </c>
      <c r="E14" s="410">
        <v>9.89</v>
      </c>
      <c r="F14" s="388">
        <v>5.27</v>
      </c>
    </row>
    <row r="15" spans="1:9" s="397" customFormat="1" x14ac:dyDescent="0.3">
      <c r="A15" s="426">
        <f>A14</f>
        <v>6.4</v>
      </c>
      <c r="B15" s="427">
        <f>B16</f>
        <v>21</v>
      </c>
      <c r="C15" s="427">
        <f>C14</f>
        <v>16.079999999999998</v>
      </c>
      <c r="D15" s="431">
        <f>D14</f>
        <v>9.5</v>
      </c>
      <c r="E15" s="437">
        <v>7.52</v>
      </c>
      <c r="F15" s="219">
        <v>4.03</v>
      </c>
    </row>
    <row r="16" spans="1:9" x14ac:dyDescent="0.3">
      <c r="A16" s="438">
        <f>A13</f>
        <v>6.4</v>
      </c>
      <c r="B16" s="439">
        <f>B11</f>
        <v>21</v>
      </c>
      <c r="C16" s="439">
        <f>C13</f>
        <v>16.079999999999998</v>
      </c>
      <c r="D16" s="440">
        <v>7.5</v>
      </c>
      <c r="E16" s="439">
        <v>8.59</v>
      </c>
      <c r="F16" s="440">
        <v>4.7300000000000004</v>
      </c>
      <c r="I16" s="27"/>
    </row>
    <row r="17" spans="1:9" x14ac:dyDescent="0.3">
      <c r="A17" s="441">
        <v>6.4</v>
      </c>
      <c r="B17" s="442">
        <v>18</v>
      </c>
      <c r="C17" s="442">
        <v>15.08</v>
      </c>
      <c r="D17" s="443">
        <v>7.5</v>
      </c>
      <c r="E17" s="442">
        <v>11.74</v>
      </c>
      <c r="F17" s="443">
        <v>6.41</v>
      </c>
      <c r="I17" s="27"/>
    </row>
    <row r="18" spans="1:9" x14ac:dyDescent="0.3">
      <c r="A18" s="444">
        <v>7.4</v>
      </c>
      <c r="B18" s="445">
        <f>B17</f>
        <v>18</v>
      </c>
      <c r="C18" s="445">
        <f>C17</f>
        <v>15.08</v>
      </c>
      <c r="D18" s="446">
        <v>7.5</v>
      </c>
      <c r="E18" s="445">
        <v>11.32</v>
      </c>
      <c r="F18" s="446">
        <v>6.18</v>
      </c>
      <c r="I18" s="27"/>
    </row>
    <row r="19" spans="1:9" x14ac:dyDescent="0.3">
      <c r="A19" s="394"/>
      <c r="B19" s="394"/>
      <c r="C19" s="394"/>
      <c r="D19" s="394"/>
      <c r="E19" s="394"/>
      <c r="F19" s="394"/>
      <c r="I19" s="27"/>
    </row>
    <row r="20" spans="1:9" x14ac:dyDescent="0.3">
      <c r="A20" s="394"/>
      <c r="B20" s="394"/>
      <c r="C20" s="394"/>
      <c r="D20" s="394"/>
      <c r="E20" s="394"/>
      <c r="F20" s="394"/>
      <c r="I20" s="27"/>
    </row>
    <row r="21" spans="1:9" x14ac:dyDescent="0.3">
      <c r="A21" s="394"/>
      <c r="B21" s="394"/>
      <c r="C21" s="394"/>
      <c r="D21" s="394"/>
      <c r="E21" s="394"/>
      <c r="F21" s="394"/>
      <c r="I21" s="27"/>
    </row>
    <row r="22" spans="1:9" x14ac:dyDescent="0.3">
      <c r="A22" s="20"/>
      <c r="B22" s="20"/>
      <c r="C22" s="18"/>
      <c r="D22" s="20"/>
      <c r="E22" s="20"/>
      <c r="F22" s="20"/>
      <c r="I22" s="27"/>
    </row>
    <row r="23" spans="1:9" x14ac:dyDescent="0.3">
      <c r="C23" s="243"/>
      <c r="I23" s="27"/>
    </row>
    <row r="24" spans="1:9" x14ac:dyDescent="0.3">
      <c r="C24" s="243"/>
      <c r="I24" s="27"/>
    </row>
    <row r="25" spans="1:9" x14ac:dyDescent="0.3">
      <c r="C25" s="243"/>
      <c r="I25" s="27"/>
    </row>
    <row r="26" spans="1:9" x14ac:dyDescent="0.3">
      <c r="C26" s="243"/>
      <c r="I26" s="27"/>
    </row>
    <row r="27" spans="1:9" x14ac:dyDescent="0.3">
      <c r="C27" s="243"/>
      <c r="I27" s="27"/>
    </row>
    <row r="28" spans="1:9" x14ac:dyDescent="0.3">
      <c r="C28" s="243"/>
      <c r="I28" s="27"/>
    </row>
    <row r="29" spans="1:9" x14ac:dyDescent="0.3">
      <c r="C29" s="243"/>
      <c r="I29" s="27"/>
    </row>
  </sheetData>
  <mergeCells count="4">
    <mergeCell ref="E5:F5"/>
    <mergeCell ref="A4:F4"/>
    <mergeCell ref="A5:D5"/>
    <mergeCell ref="A3:F3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E7529-B2E3-4371-A63D-CDE06B6EF4F7}">
  <sheetPr>
    <tabColor theme="9" tint="0.39997558519241921"/>
  </sheetPr>
  <dimension ref="A1:AA1252"/>
  <sheetViews>
    <sheetView topLeftCell="A19" zoomScale="90" zoomScaleNormal="90" workbookViewId="0">
      <selection activeCell="B27" sqref="B27"/>
    </sheetView>
  </sheetViews>
  <sheetFormatPr defaultRowHeight="14.4" x14ac:dyDescent="0.3"/>
  <cols>
    <col min="1" max="1" width="13.21875" style="412" bestFit="1" customWidth="1"/>
    <col min="2" max="2" width="11.21875" style="412" bestFit="1" customWidth="1"/>
    <col min="3" max="3" width="14.6640625" style="412" bestFit="1" customWidth="1"/>
    <col min="4" max="4" width="14.6640625" style="464" customWidth="1"/>
    <col min="5" max="5" width="14.6640625" style="412" bestFit="1" customWidth="1"/>
    <col min="6" max="6" width="13.33203125" style="412" bestFit="1" customWidth="1"/>
    <col min="7" max="7" width="11.109375" style="412" bestFit="1" customWidth="1"/>
    <col min="8" max="8" width="18.88671875" style="464" bestFit="1" customWidth="1"/>
    <col min="9" max="9" width="24.5546875" style="412" bestFit="1" customWidth="1"/>
    <col min="10" max="10" width="20.77734375" style="412" bestFit="1" customWidth="1"/>
    <col min="11" max="11" width="17.33203125" style="412" bestFit="1" customWidth="1"/>
    <col min="12" max="12" width="9" style="412" bestFit="1" customWidth="1"/>
    <col min="13" max="13" width="8.21875" style="412" bestFit="1" customWidth="1"/>
    <col min="14" max="23" width="8.88671875" style="412"/>
    <col min="24" max="24" width="9.109375" style="412" bestFit="1" customWidth="1"/>
    <col min="25" max="16384" width="8.88671875" style="412"/>
  </cols>
  <sheetData>
    <row r="1" spans="2:27" x14ac:dyDescent="0.3">
      <c r="B1" s="741" t="s">
        <v>421</v>
      </c>
      <c r="C1" s="742"/>
      <c r="D1" s="742"/>
      <c r="E1" s="742"/>
      <c r="F1" s="742"/>
      <c r="G1" s="742"/>
      <c r="H1" s="743"/>
      <c r="I1" s="8" t="s">
        <v>473</v>
      </c>
      <c r="J1" s="474" t="s">
        <v>463</v>
      </c>
      <c r="K1" s="495" t="s">
        <v>462</v>
      </c>
      <c r="P1" s="464"/>
      <c r="W1" s="457"/>
      <c r="X1" s="457" t="s">
        <v>434</v>
      </c>
      <c r="Y1" s="457" t="s">
        <v>435</v>
      </c>
      <c r="Z1" s="457" t="s">
        <v>436</v>
      </c>
      <c r="AA1" s="457" t="s">
        <v>438</v>
      </c>
    </row>
    <row r="2" spans="2:27" x14ac:dyDescent="0.3">
      <c r="B2" s="484" t="s">
        <v>426</v>
      </c>
      <c r="C2" s="461" t="s">
        <v>427</v>
      </c>
      <c r="D2" s="461" t="s">
        <v>428</v>
      </c>
      <c r="E2" s="461" t="s">
        <v>423</v>
      </c>
      <c r="F2" s="461" t="s">
        <v>424</v>
      </c>
      <c r="G2" s="461" t="s">
        <v>422</v>
      </c>
      <c r="H2" s="466" t="s">
        <v>425</v>
      </c>
      <c r="I2" s="476" t="s">
        <v>470</v>
      </c>
      <c r="J2" s="457">
        <v>126</v>
      </c>
      <c r="K2" s="496">
        <v>45</v>
      </c>
      <c r="P2" s="397"/>
      <c r="W2" s="457" t="s">
        <v>439</v>
      </c>
      <c r="X2" s="457">
        <v>1.7999999999999999E-2</v>
      </c>
      <c r="Y2" s="458">
        <f>G4</f>
        <v>5.0000000000000001E-4</v>
      </c>
      <c r="Z2" s="457">
        <v>0.05</v>
      </c>
    </row>
    <row r="3" spans="2:27" x14ac:dyDescent="0.3">
      <c r="B3" s="485" t="s">
        <v>311</v>
      </c>
      <c r="C3" s="461" t="s">
        <v>432</v>
      </c>
      <c r="D3" s="461" t="s">
        <v>430</v>
      </c>
      <c r="E3" s="470" t="s">
        <v>431</v>
      </c>
      <c r="F3" s="461" t="s">
        <v>84</v>
      </c>
      <c r="G3" s="461" t="s">
        <v>433</v>
      </c>
      <c r="H3" s="466" t="s">
        <v>312</v>
      </c>
      <c r="I3" s="476" t="s">
        <v>471</v>
      </c>
      <c r="J3" s="457">
        <v>25</v>
      </c>
      <c r="K3" s="496">
        <v>70</v>
      </c>
      <c r="L3" s="412">
        <f>135/360*2*PI()*38</f>
        <v>89.535390627309098</v>
      </c>
      <c r="P3" s="453"/>
      <c r="S3" s="453"/>
      <c r="T3" s="453" t="s">
        <v>30</v>
      </c>
      <c r="U3" s="453" t="s">
        <v>429</v>
      </c>
      <c r="W3" s="307" t="s">
        <v>25</v>
      </c>
      <c r="X3" s="308">
        <f>8.75*10^-4</f>
        <v>8.7500000000000002E-4</v>
      </c>
      <c r="Y3" s="308">
        <f>E4</f>
        <v>1.2566370614359173E-6</v>
      </c>
      <c r="Z3" s="308">
        <f>X3</f>
        <v>8.7500000000000002E-4</v>
      </c>
    </row>
    <row r="4" spans="2:27" x14ac:dyDescent="0.3">
      <c r="B4" s="486">
        <f t="shared" ref="B4:B22" si="0">IF($E$4*$F$4^2*$D$4*H4^2/$G$4^2&lt;30000,$E$4*$F$4^2*$D$4*H4^2/$G$4^2,0)</f>
        <v>30.653901821843196</v>
      </c>
      <c r="C4" s="481">
        <f t="shared" ref="C4:C23" si="1">$E$4*$F$4*H4/$G$4</f>
        <v>0.11058406140636072</v>
      </c>
      <c r="D4" s="461">
        <f>3150*10^-6</f>
        <v>3.15E-3</v>
      </c>
      <c r="E4" s="40">
        <f>4*PI()*10^-7</f>
        <v>1.2566370614359173E-6</v>
      </c>
      <c r="F4" s="134">
        <v>440</v>
      </c>
      <c r="G4" s="480">
        <f>0.5*10^-3</f>
        <v>5.0000000000000001E-4</v>
      </c>
      <c r="H4" s="466">
        <v>0.1</v>
      </c>
      <c r="I4" s="457" t="s">
        <v>472</v>
      </c>
      <c r="J4" s="457">
        <v>105</v>
      </c>
      <c r="K4" s="496">
        <v>115</v>
      </c>
      <c r="P4" s="19"/>
      <c r="S4" s="455"/>
      <c r="T4" s="412">
        <f t="shared" ref="T4:T22" si="2">$F$4*H4/(2.98*10^5*$D$4)</f>
        <v>4.6873335463939486E-2</v>
      </c>
      <c r="U4" s="20">
        <f t="shared" ref="U4:U21" si="3">T4^2*$D$4/$E$4</f>
        <v>5.5074733839729317</v>
      </c>
      <c r="W4" s="457" t="s">
        <v>430</v>
      </c>
      <c r="X4" s="457">
        <f>D4</f>
        <v>3.15E-3</v>
      </c>
      <c r="Y4" s="457">
        <f>X4</f>
        <v>3.15E-3</v>
      </c>
      <c r="Z4" s="457">
        <f>PI()*22^2*10^-6</f>
        <v>1.5205308443374599E-3</v>
      </c>
    </row>
    <row r="5" spans="2:27" x14ac:dyDescent="0.3">
      <c r="B5" s="486">
        <f t="shared" si="0"/>
        <v>122.61560728737278</v>
      </c>
      <c r="C5" s="481">
        <f t="shared" si="1"/>
        <v>0.22116812281272144</v>
      </c>
      <c r="D5" s="461"/>
      <c r="E5" s="461"/>
      <c r="F5" s="461"/>
      <c r="G5" s="461"/>
      <c r="H5" s="466">
        <v>0.2</v>
      </c>
      <c r="T5" s="456">
        <f t="shared" si="2"/>
        <v>9.3746670927878972E-2</v>
      </c>
      <c r="U5" s="20">
        <f t="shared" si="3"/>
        <v>22.029893535891727</v>
      </c>
      <c r="W5" s="457" t="s">
        <v>437</v>
      </c>
      <c r="X5" s="308">
        <f>X2/X3/X4</f>
        <v>6530.6122448979586</v>
      </c>
      <c r="Y5" s="308">
        <f t="shared" ref="Y5:Z5" si="4">Y2/Y3/Y4</f>
        <v>126313.44689832964</v>
      </c>
      <c r="Z5" s="308">
        <f t="shared" si="4"/>
        <v>37580.860234213775</v>
      </c>
      <c r="AA5" s="412">
        <f>X5+2*Y5+Z5</f>
        <v>296738.366275771</v>
      </c>
    </row>
    <row r="6" spans="2:27" x14ac:dyDescent="0.3">
      <c r="B6" s="486">
        <f t="shared" si="0"/>
        <v>275.88511639658873</v>
      </c>
      <c r="C6" s="481">
        <f t="shared" si="1"/>
        <v>0.33175218421908215</v>
      </c>
      <c r="D6" s="461"/>
      <c r="E6" s="461"/>
      <c r="F6" s="130"/>
      <c r="G6" s="130"/>
      <c r="H6" s="466">
        <v>0.3</v>
      </c>
      <c r="T6" s="456">
        <f t="shared" si="2"/>
        <v>0.14062000639181846</v>
      </c>
      <c r="U6" s="20">
        <f t="shared" si="3"/>
        <v>49.56726045575639</v>
      </c>
      <c r="W6" s="457"/>
      <c r="X6" s="457"/>
      <c r="Y6" s="457"/>
      <c r="Z6" s="457"/>
    </row>
    <row r="7" spans="2:27" x14ac:dyDescent="0.3">
      <c r="B7" s="486">
        <f t="shared" si="0"/>
        <v>490.46242914949113</v>
      </c>
      <c r="C7" s="481">
        <f t="shared" si="1"/>
        <v>0.44233624562544288</v>
      </c>
      <c r="D7" s="461"/>
      <c r="E7" s="465" t="s">
        <v>463</v>
      </c>
      <c r="F7" s="482" t="s">
        <v>462</v>
      </c>
      <c r="G7" s="130"/>
      <c r="H7" s="466">
        <v>0.4</v>
      </c>
      <c r="S7" s="412">
        <f>2000*10^-6</f>
        <v>2E-3</v>
      </c>
      <c r="T7" s="456">
        <f t="shared" si="2"/>
        <v>0.18749334185575794</v>
      </c>
      <c r="U7" s="20">
        <f t="shared" si="3"/>
        <v>88.119574143566908</v>
      </c>
      <c r="W7" s="307" t="s">
        <v>440</v>
      </c>
      <c r="X7" s="21">
        <f>F4*H23/AA5</f>
        <v>2.965575402481593E-3</v>
      </c>
      <c r="Y7" s="457"/>
      <c r="Z7" s="457"/>
    </row>
    <row r="8" spans="2:27" x14ac:dyDescent="0.3">
      <c r="B8" s="487">
        <f t="shared" si="0"/>
        <v>766.3475455460798</v>
      </c>
      <c r="C8" s="488">
        <f t="shared" si="1"/>
        <v>0.5529203070318035</v>
      </c>
      <c r="D8" s="112"/>
      <c r="E8" s="696" t="s">
        <v>464</v>
      </c>
      <c r="F8" s="739"/>
      <c r="G8" s="489"/>
      <c r="H8" s="490">
        <v>0.5</v>
      </c>
      <c r="T8" s="456">
        <f t="shared" si="2"/>
        <v>0.23436667731969743</v>
      </c>
      <c r="U8" s="20">
        <f t="shared" si="3"/>
        <v>137.6868345993233</v>
      </c>
      <c r="W8" s="457" t="s">
        <v>30</v>
      </c>
      <c r="X8" s="18">
        <f>X7/D4</f>
        <v>0.94145250872431518</v>
      </c>
      <c r="Y8" s="457"/>
      <c r="Z8" s="457"/>
    </row>
    <row r="9" spans="2:27" x14ac:dyDescent="0.3">
      <c r="B9" s="486">
        <f t="shared" si="0"/>
        <v>1103.5404655863549</v>
      </c>
      <c r="C9" s="481">
        <f t="shared" si="1"/>
        <v>0.66350436843816429</v>
      </c>
      <c r="D9" s="461"/>
      <c r="E9" s="460">
        <f>(J2*2+J3*2)*F4/1000</f>
        <v>132.88</v>
      </c>
      <c r="F9" s="483">
        <f>(K2*2+K3*2)*F4/1000</f>
        <v>101.2</v>
      </c>
      <c r="G9" s="130"/>
      <c r="H9" s="466">
        <v>0.6</v>
      </c>
      <c r="T9" s="456">
        <f t="shared" si="2"/>
        <v>0.28124001278363692</v>
      </c>
      <c r="U9" s="20">
        <f t="shared" si="3"/>
        <v>198.26904182302556</v>
      </c>
      <c r="W9" s="457" t="s">
        <v>441</v>
      </c>
      <c r="X9" s="18">
        <f>X8^2*D4/E4</f>
        <v>2221.7619455590066</v>
      </c>
      <c r="Y9" s="457"/>
      <c r="Z9" s="457"/>
    </row>
    <row r="10" spans="2:27" x14ac:dyDescent="0.3">
      <c r="B10" s="486">
        <f t="shared" si="0"/>
        <v>1502.0411892703162</v>
      </c>
      <c r="C10" s="481">
        <f t="shared" si="1"/>
        <v>0.77408842984452486</v>
      </c>
      <c r="D10" s="461"/>
      <c r="G10" s="130"/>
      <c r="H10" s="466">
        <v>0.7</v>
      </c>
      <c r="K10" s="412">
        <f>PI()*0.7^2*600</f>
        <v>923.628240155399</v>
      </c>
      <c r="T10" s="456">
        <f t="shared" si="2"/>
        <v>0.32811334824757643</v>
      </c>
      <c r="U10" s="20">
        <f t="shared" si="3"/>
        <v>269.86619581467374</v>
      </c>
      <c r="W10" s="457"/>
      <c r="X10" s="457"/>
      <c r="Y10" s="457"/>
      <c r="Z10" s="457"/>
    </row>
    <row r="11" spans="2:27" x14ac:dyDescent="0.3">
      <c r="B11" s="486">
        <f t="shared" si="0"/>
        <v>1961.8497165979645</v>
      </c>
      <c r="C11" s="481">
        <f t="shared" si="1"/>
        <v>0.88467249125088576</v>
      </c>
      <c r="D11" s="412"/>
      <c r="G11" s="130"/>
      <c r="H11" s="466">
        <v>0.8</v>
      </c>
      <c r="K11" s="503">
        <f>PI()*C33^2*F4</f>
        <v>1382.3007675795091</v>
      </c>
      <c r="T11" s="456">
        <f t="shared" si="2"/>
        <v>0.37498668371151589</v>
      </c>
      <c r="U11" s="20">
        <f t="shared" si="3"/>
        <v>352.47829657426763</v>
      </c>
      <c r="W11" s="457"/>
      <c r="X11" s="457"/>
      <c r="Y11" s="457"/>
      <c r="Z11" s="457"/>
    </row>
    <row r="12" spans="2:27" x14ac:dyDescent="0.3">
      <c r="B12" s="486">
        <f t="shared" si="0"/>
        <v>2482.966047569299</v>
      </c>
      <c r="C12" s="481">
        <f t="shared" si="1"/>
        <v>0.99525655265724644</v>
      </c>
      <c r="D12" s="412"/>
      <c r="G12" s="130"/>
      <c r="H12" s="466">
        <v>0.9</v>
      </c>
      <c r="T12" s="456">
        <f t="shared" si="2"/>
        <v>0.4218600191754554</v>
      </c>
      <c r="U12" s="20">
        <f t="shared" si="3"/>
        <v>446.10534410180747</v>
      </c>
      <c r="W12" s="457"/>
      <c r="X12" s="457"/>
      <c r="Y12" s="457"/>
      <c r="Z12" s="457"/>
    </row>
    <row r="13" spans="2:27" x14ac:dyDescent="0.3">
      <c r="B13" s="486">
        <f t="shared" si="0"/>
        <v>3065.3901821843192</v>
      </c>
      <c r="C13" s="481">
        <f t="shared" si="1"/>
        <v>1.105840614063607</v>
      </c>
      <c r="D13" s="412"/>
      <c r="G13" s="130"/>
      <c r="H13" s="466">
        <v>1</v>
      </c>
      <c r="T13" s="456">
        <f t="shared" si="2"/>
        <v>0.46873335463939486</v>
      </c>
      <c r="U13" s="20">
        <f t="shared" si="3"/>
        <v>550.74733839729322</v>
      </c>
      <c r="W13" s="457"/>
      <c r="X13" s="457"/>
      <c r="Y13" s="457"/>
      <c r="Z13" s="457"/>
    </row>
    <row r="14" spans="2:27" x14ac:dyDescent="0.3">
      <c r="B14" s="486">
        <f t="shared" si="0"/>
        <v>3709.1221204430267</v>
      </c>
      <c r="C14" s="481">
        <f t="shared" si="1"/>
        <v>1.2164246754699679</v>
      </c>
      <c r="D14" s="130"/>
      <c r="G14" s="130"/>
      <c r="H14" s="466">
        <v>1.1000000000000001</v>
      </c>
      <c r="T14" s="456">
        <f t="shared" si="2"/>
        <v>0.51560669010333449</v>
      </c>
      <c r="U14" s="20">
        <f t="shared" si="3"/>
        <v>666.40427946072509</v>
      </c>
      <c r="W14" s="457"/>
      <c r="X14" s="457"/>
      <c r="Y14" s="457"/>
      <c r="Z14" s="457"/>
    </row>
    <row r="15" spans="2:27" x14ac:dyDescent="0.3">
      <c r="B15" s="486">
        <f t="shared" si="0"/>
        <v>4414.1618623454196</v>
      </c>
      <c r="C15" s="481">
        <f t="shared" si="1"/>
        <v>1.3270087368763286</v>
      </c>
      <c r="D15" s="130"/>
      <c r="E15" s="130"/>
      <c r="F15" s="130"/>
      <c r="G15" s="130"/>
      <c r="H15" s="466">
        <v>1.2</v>
      </c>
      <c r="T15" s="456">
        <f t="shared" si="2"/>
        <v>0.56248002556727383</v>
      </c>
      <c r="U15" s="20">
        <f t="shared" si="3"/>
        <v>793.07616729210224</v>
      </c>
      <c r="W15" s="457"/>
      <c r="X15" s="457"/>
      <c r="Y15" s="457"/>
      <c r="Z15" s="457"/>
    </row>
    <row r="16" spans="2:27" x14ac:dyDescent="0.3">
      <c r="B16" s="486">
        <f t="shared" si="0"/>
        <v>5180.5094078914999</v>
      </c>
      <c r="C16" s="481">
        <f t="shared" si="1"/>
        <v>1.4375927982826893</v>
      </c>
      <c r="D16" s="130"/>
      <c r="E16" s="130"/>
      <c r="F16" s="130"/>
      <c r="G16" s="130"/>
      <c r="H16" s="466">
        <v>1.3</v>
      </c>
      <c r="T16" s="456">
        <f t="shared" si="2"/>
        <v>0.6093533610312134</v>
      </c>
      <c r="U16" s="20">
        <f t="shared" si="3"/>
        <v>930.7630018914258</v>
      </c>
      <c r="W16" s="457"/>
      <c r="X16" s="457"/>
      <c r="Y16" s="457"/>
      <c r="Z16" s="457"/>
    </row>
    <row r="17" spans="1:26" x14ac:dyDescent="0.3">
      <c r="B17" s="486">
        <f t="shared" si="0"/>
        <v>6008.1647570812647</v>
      </c>
      <c r="C17" s="481">
        <f t="shared" si="1"/>
        <v>1.5481768596890497</v>
      </c>
      <c r="D17" s="130"/>
      <c r="E17" s="130"/>
      <c r="F17" s="130"/>
      <c r="G17" s="130"/>
      <c r="H17" s="466">
        <v>1.4</v>
      </c>
      <c r="T17" s="456">
        <f t="shared" si="2"/>
        <v>0.65622669649515286</v>
      </c>
      <c r="U17" s="20">
        <f t="shared" si="3"/>
        <v>1079.464783258695</v>
      </c>
      <c r="W17" s="457"/>
      <c r="X17" s="457"/>
      <c r="Y17" s="457"/>
      <c r="Z17" s="457"/>
    </row>
    <row r="18" spans="1:26" x14ac:dyDescent="0.3">
      <c r="B18" s="486">
        <f t="shared" si="0"/>
        <v>6897.1279099147177</v>
      </c>
      <c r="C18" s="481">
        <f t="shared" si="1"/>
        <v>1.6587609210954106</v>
      </c>
      <c r="D18" s="130"/>
      <c r="E18" s="130"/>
      <c r="F18" s="130"/>
      <c r="G18" s="130"/>
      <c r="H18" s="466">
        <v>1.5</v>
      </c>
      <c r="T18" s="456">
        <f t="shared" si="2"/>
        <v>0.70310003195909232</v>
      </c>
      <c r="U18" s="20">
        <f t="shared" si="3"/>
        <v>1239.1815113939097</v>
      </c>
    </row>
    <row r="19" spans="1:26" x14ac:dyDescent="0.3">
      <c r="B19" s="486">
        <f t="shared" si="0"/>
        <v>7847.3988663918581</v>
      </c>
      <c r="C19" s="481">
        <f t="shared" si="1"/>
        <v>1.7693449825017715</v>
      </c>
      <c r="D19" s="130"/>
      <c r="E19" s="130"/>
      <c r="F19" s="130"/>
      <c r="G19" s="130"/>
      <c r="H19" s="466">
        <v>1.6</v>
      </c>
      <c r="T19" s="456">
        <f t="shared" si="2"/>
        <v>0.74997336742303178</v>
      </c>
      <c r="U19" s="20">
        <f t="shared" si="3"/>
        <v>1409.9131862970705</v>
      </c>
    </row>
    <row r="20" spans="1:26" x14ac:dyDescent="0.3">
      <c r="B20" s="486">
        <f t="shared" si="0"/>
        <v>8858.977626512682</v>
      </c>
      <c r="C20" s="481">
        <f t="shared" si="1"/>
        <v>1.8799290439081322</v>
      </c>
      <c r="D20" s="130"/>
      <c r="E20" s="130"/>
      <c r="F20" s="130"/>
      <c r="G20" s="130"/>
      <c r="H20" s="466">
        <v>1.7</v>
      </c>
      <c r="T20" s="456">
        <f t="shared" si="2"/>
        <v>0.79684670288697135</v>
      </c>
      <c r="U20" s="20">
        <f t="shared" si="3"/>
        <v>1591.6598079681776</v>
      </c>
    </row>
    <row r="21" spans="1:26" x14ac:dyDescent="0.3">
      <c r="B21" s="486">
        <f t="shared" si="0"/>
        <v>9931.864190277196</v>
      </c>
      <c r="C21" s="481">
        <f t="shared" si="1"/>
        <v>1.9905131053144929</v>
      </c>
      <c r="D21" s="130"/>
      <c r="E21" s="130"/>
      <c r="F21" s="130"/>
      <c r="G21" s="130"/>
      <c r="H21" s="466">
        <v>1.8</v>
      </c>
      <c r="T21" s="456">
        <f t="shared" si="2"/>
        <v>0.84372003835091081</v>
      </c>
      <c r="U21" s="20">
        <f t="shared" si="3"/>
        <v>1784.4213764072299</v>
      </c>
    </row>
    <row r="22" spans="1:26" x14ac:dyDescent="0.3">
      <c r="B22" s="486">
        <f t="shared" si="0"/>
        <v>11066.058557685392</v>
      </c>
      <c r="C22" s="481">
        <f t="shared" si="1"/>
        <v>2.1010971667208533</v>
      </c>
      <c r="D22" s="130"/>
      <c r="E22" s="130"/>
      <c r="F22" s="130"/>
      <c r="G22" s="130"/>
      <c r="H22" s="466">
        <v>1.9</v>
      </c>
      <c r="T22" s="456">
        <f t="shared" si="2"/>
        <v>0.89059337381485026</v>
      </c>
    </row>
    <row r="23" spans="1:26" x14ac:dyDescent="0.3">
      <c r="B23" s="491">
        <f>IF($E$4*$F$4^2*$D$4*H23^2/$G$4^2&lt;40000,$E$4*$F$4^2*$D$4*H23^2/$G$4^2,0)</f>
        <v>12261.560728737277</v>
      </c>
      <c r="C23" s="492">
        <f t="shared" si="1"/>
        <v>2.211681228127214</v>
      </c>
      <c r="D23" s="493"/>
      <c r="E23" s="493"/>
      <c r="F23" s="493"/>
      <c r="G23" s="493"/>
      <c r="H23" s="494">
        <v>2</v>
      </c>
    </row>
    <row r="25" spans="1:26" x14ac:dyDescent="0.3">
      <c r="A25" s="746" t="s">
        <v>469</v>
      </c>
      <c r="B25" s="747"/>
      <c r="C25" s="747"/>
      <c r="D25" s="747"/>
      <c r="E25" s="747"/>
      <c r="F25" s="747"/>
      <c r="G25" s="747"/>
      <c r="H25" s="748"/>
      <c r="J25" s="19"/>
    </row>
    <row r="26" spans="1:26" x14ac:dyDescent="0.3">
      <c r="A26" s="477" t="s">
        <v>442</v>
      </c>
      <c r="B26" s="478" t="s">
        <v>444</v>
      </c>
      <c r="C26" s="182" t="s">
        <v>439</v>
      </c>
      <c r="D26" s="182"/>
      <c r="E26" s="463" t="s">
        <v>449</v>
      </c>
      <c r="F26" s="463" t="s">
        <v>443</v>
      </c>
      <c r="G26" s="463" t="s">
        <v>445</v>
      </c>
      <c r="H26" s="467" t="s">
        <v>446</v>
      </c>
      <c r="J26" s="308"/>
      <c r="K26" s="457"/>
      <c r="R26" s="464"/>
      <c r="T26" s="464"/>
    </row>
    <row r="27" spans="1:26" x14ac:dyDescent="0.3">
      <c r="A27" s="459">
        <v>2</v>
      </c>
      <c r="B27" s="461">
        <f>1.72*10^-8</f>
        <v>1.7199999999999999E-8</v>
      </c>
      <c r="C27" s="134">
        <f>F9</f>
        <v>101.2</v>
      </c>
      <c r="D27" s="134"/>
      <c r="E27" s="461">
        <f>PI()*C32^2</f>
        <v>7.8539816339744823E-7</v>
      </c>
      <c r="F27" s="469">
        <f>B27*C27/E27</f>
        <v>2.2162516811478139</v>
      </c>
      <c r="G27" s="469">
        <f>F27*A27^2</f>
        <v>8.8650067245912556</v>
      </c>
      <c r="H27" s="388">
        <f>F27*A27</f>
        <v>4.4325033622956278</v>
      </c>
      <c r="J27" s="308"/>
      <c r="K27" s="457"/>
      <c r="R27" s="464"/>
      <c r="T27" s="464"/>
    </row>
    <row r="28" spans="1:26" x14ac:dyDescent="0.3">
      <c r="A28" s="460"/>
      <c r="B28" s="462"/>
      <c r="C28" s="462"/>
      <c r="D28" s="462"/>
      <c r="E28" s="462">
        <f>35*10^-6</f>
        <v>3.4999999999999997E-5</v>
      </c>
      <c r="F28" s="462">
        <f>B27*C27/PI()/E28</f>
        <v>1.5830369151055811E-2</v>
      </c>
      <c r="G28" s="462">
        <f>F28*A27^2</f>
        <v>6.3321476604223242E-2</v>
      </c>
      <c r="H28" s="468"/>
      <c r="J28" s="308"/>
      <c r="K28" s="457"/>
      <c r="R28" s="464"/>
      <c r="T28" s="464"/>
    </row>
    <row r="29" spans="1:26" x14ac:dyDescent="0.3">
      <c r="A29" s="457"/>
      <c r="B29" s="457"/>
      <c r="C29" s="457"/>
      <c r="D29" s="457"/>
      <c r="E29" s="457"/>
      <c r="F29" s="457"/>
      <c r="G29" s="457"/>
      <c r="H29" s="457"/>
      <c r="I29" s="457"/>
      <c r="J29" s="308"/>
      <c r="K29" s="457"/>
      <c r="R29" s="464"/>
      <c r="T29" s="464"/>
    </row>
    <row r="30" spans="1:26" x14ac:dyDescent="0.3">
      <c r="A30" s="567" t="s">
        <v>447</v>
      </c>
      <c r="B30" s="568"/>
      <c r="C30" s="463" t="s">
        <v>452</v>
      </c>
      <c r="D30" s="551" t="s">
        <v>450</v>
      </c>
      <c r="E30" s="551"/>
      <c r="F30" s="463" t="s">
        <v>453</v>
      </c>
      <c r="G30" s="463" t="s">
        <v>184</v>
      </c>
      <c r="H30" s="463" t="s">
        <v>456</v>
      </c>
      <c r="I30" s="467" t="s">
        <v>458</v>
      </c>
      <c r="J30" s="308"/>
      <c r="K30" s="457"/>
      <c r="R30" s="464"/>
      <c r="T30" s="464"/>
    </row>
    <row r="31" spans="1:26" x14ac:dyDescent="0.3">
      <c r="A31" s="744" t="s">
        <v>448</v>
      </c>
      <c r="B31" s="745"/>
      <c r="C31" s="312" t="s">
        <v>451</v>
      </c>
      <c r="D31" s="740" t="s">
        <v>430</v>
      </c>
      <c r="E31" s="740"/>
      <c r="F31" s="312" t="s">
        <v>454</v>
      </c>
      <c r="G31" s="312" t="s">
        <v>455</v>
      </c>
      <c r="H31" s="312" t="s">
        <v>457</v>
      </c>
      <c r="I31" s="346" t="s">
        <v>461</v>
      </c>
      <c r="J31" s="308"/>
      <c r="K31" s="457"/>
      <c r="R31" s="464"/>
      <c r="T31" s="464"/>
    </row>
    <row r="32" spans="1:26" x14ac:dyDescent="0.3">
      <c r="A32" s="590">
        <f>15</f>
        <v>15</v>
      </c>
      <c r="B32" s="550"/>
      <c r="C32" s="479">
        <f>C33/2/1000</f>
        <v>5.0000000000000001E-4</v>
      </c>
      <c r="D32" s="462">
        <f>2*PI()*C32*C27</f>
        <v>0.31792917654328712</v>
      </c>
      <c r="E32" s="454">
        <f>(50*PI()*C32*4)*(K3+K2)/1000</f>
        <v>3.6128315516282622E-2</v>
      </c>
      <c r="F32" s="462">
        <f>8.96/1000*10^6</f>
        <v>8960.0000000000018</v>
      </c>
      <c r="G32" s="462">
        <f>F32*E27*C27</f>
        <v>0.71216135545696313</v>
      </c>
      <c r="H32" s="462">
        <f>385</f>
        <v>385</v>
      </c>
      <c r="I32" s="468">
        <v>20</v>
      </c>
      <c r="J32" s="308"/>
      <c r="K32" s="457"/>
      <c r="R32" s="464"/>
      <c r="T32" s="464"/>
    </row>
    <row r="33" spans="1:20" x14ac:dyDescent="0.3">
      <c r="A33" s="457"/>
      <c r="B33" s="457"/>
      <c r="C33" s="515">
        <v>1</v>
      </c>
      <c r="D33" s="457"/>
      <c r="E33" s="457"/>
      <c r="F33" s="457"/>
      <c r="G33" s="457"/>
      <c r="H33" s="457"/>
      <c r="I33" s="457"/>
      <c r="J33" s="308"/>
      <c r="K33" s="457"/>
      <c r="R33" s="464"/>
      <c r="T33" s="464"/>
    </row>
    <row r="34" spans="1:20" x14ac:dyDescent="0.3">
      <c r="A34" s="457"/>
      <c r="B34" s="457" t="s">
        <v>459</v>
      </c>
      <c r="C34" s="457" t="s">
        <v>465</v>
      </c>
      <c r="D34" s="457" t="s">
        <v>460</v>
      </c>
      <c r="E34" s="457" t="s">
        <v>460</v>
      </c>
      <c r="F34" s="457"/>
      <c r="G34" s="457"/>
      <c r="H34" s="457"/>
      <c r="I34" s="457"/>
      <c r="J34" s="308"/>
      <c r="K34" s="457"/>
      <c r="R34" s="464"/>
      <c r="T34" s="464"/>
    </row>
    <row r="35" spans="1:20" x14ac:dyDescent="0.3">
      <c r="A35" s="457"/>
      <c r="B35" s="457">
        <v>1</v>
      </c>
      <c r="C35" s="18">
        <f>B35/60</f>
        <v>1.6666666666666666E-2</v>
      </c>
      <c r="D35" s="18">
        <f>$I$32+$G$27/$A$32/$D$32*(1-EXP(-B35/($G$32*$H$32/$A$32/$D$32)))</f>
        <v>20.032052986385832</v>
      </c>
      <c r="E35" s="18">
        <f>$I$32+$G$27/$A$32/$E$32*(1-EXP(-B35/($G$32*$H$32/$A$32/$D$32)))</f>
        <v>20.28206628019532</v>
      </c>
      <c r="F35" s="457"/>
      <c r="G35" s="472"/>
      <c r="H35" s="471" t="s">
        <v>468</v>
      </c>
      <c r="I35" s="457"/>
      <c r="J35" s="308"/>
      <c r="K35" s="457"/>
      <c r="R35" s="464"/>
      <c r="T35" s="464"/>
    </row>
    <row r="36" spans="1:20" x14ac:dyDescent="0.3">
      <c r="A36" s="457"/>
      <c r="B36" s="457">
        <v>2</v>
      </c>
      <c r="C36" s="18">
        <f t="shared" ref="C36:C99" si="5">B36/60</f>
        <v>3.3333333333333333E-2</v>
      </c>
      <c r="D36" s="18">
        <f t="shared" ref="D36:D99" si="6">$I$32+$G$27/$A$32/$D$32*(1-EXP(-B36/($G$32*$H$32/$A$32/$D$32)))</f>
        <v>20.06355328535988</v>
      </c>
      <c r="E36" s="18">
        <f t="shared" ref="E36:E99" si="7">$I$32+$G$27/$A$32/$E$32*(1-EXP(-B36/($G$32*$H$32/$A$32/$D$32)))</f>
        <v>20.559268911166935</v>
      </c>
      <c r="F36" s="457"/>
      <c r="G36" s="473" t="s">
        <v>474</v>
      </c>
      <c r="H36" s="388">
        <f>$G$27/$A$32/$D$32</f>
        <v>1.8589059825580903</v>
      </c>
      <c r="I36" s="457"/>
      <c r="J36" s="308"/>
      <c r="K36" s="457"/>
      <c r="R36" s="464"/>
      <c r="T36" s="464"/>
    </row>
    <row r="37" spans="1:20" x14ac:dyDescent="0.3">
      <c r="A37" s="457"/>
      <c r="B37" s="457">
        <v>3</v>
      </c>
      <c r="C37" s="18">
        <f t="shared" si="5"/>
        <v>0.05</v>
      </c>
      <c r="D37" s="18">
        <f t="shared" si="6"/>
        <v>20.094510426872688</v>
      </c>
      <c r="E37" s="18">
        <f t="shared" si="7"/>
        <v>20.831691756479668</v>
      </c>
      <c r="F37" s="457"/>
      <c r="G37" s="473" t="s">
        <v>466</v>
      </c>
      <c r="H37" s="388">
        <f>G27/((50)*PI()*C32*4*(J2+J3)/1000)/A32</f>
        <v>12.458363273833033</v>
      </c>
      <c r="I37" s="457"/>
      <c r="J37" s="457"/>
      <c r="K37" s="457"/>
      <c r="R37" s="464"/>
      <c r="T37" s="464"/>
    </row>
    <row r="38" spans="1:20" x14ac:dyDescent="0.3">
      <c r="A38" s="457"/>
      <c r="B38" s="457">
        <v>4</v>
      </c>
      <c r="C38" s="18">
        <f t="shared" si="5"/>
        <v>6.6666666666666666E-2</v>
      </c>
      <c r="D38" s="18">
        <f t="shared" si="6"/>
        <v>20.124933776550538</v>
      </c>
      <c r="E38" s="18">
        <f t="shared" si="7"/>
        <v>21.099417233644719</v>
      </c>
      <c r="F38" s="457"/>
      <c r="G38" s="475" t="s">
        <v>467</v>
      </c>
      <c r="H38" s="389">
        <f>$G$27/$A$32/$E$32</f>
        <v>16.358372646511196</v>
      </c>
      <c r="I38" s="457"/>
      <c r="J38" s="457"/>
      <c r="K38" s="457"/>
      <c r="R38" s="464"/>
      <c r="T38" s="464"/>
    </row>
    <row r="39" spans="1:20" x14ac:dyDescent="0.3">
      <c r="A39" s="457"/>
      <c r="B39" s="457">
        <v>5</v>
      </c>
      <c r="C39" s="18">
        <f t="shared" si="5"/>
        <v>8.3333333333333329E-2</v>
      </c>
      <c r="D39" s="18">
        <f t="shared" si="6"/>
        <v>20.154832538528851</v>
      </c>
      <c r="E39" s="18">
        <f t="shared" si="7"/>
        <v>21.362526339053893</v>
      </c>
      <c r="F39" s="457"/>
      <c r="G39" s="457"/>
      <c r="H39" s="457"/>
      <c r="I39" s="457"/>
      <c r="J39" s="457"/>
      <c r="K39" s="457"/>
      <c r="R39" s="464"/>
      <c r="T39" s="464"/>
    </row>
    <row r="40" spans="1:20" x14ac:dyDescent="0.3">
      <c r="A40" s="457"/>
      <c r="B40" s="457">
        <v>6</v>
      </c>
      <c r="C40" s="18">
        <f t="shared" si="5"/>
        <v>0.1</v>
      </c>
      <c r="D40" s="18">
        <f t="shared" si="6"/>
        <v>20.1842157582368</v>
      </c>
      <c r="E40" s="18">
        <f t="shared" si="7"/>
        <v>21.621098672483853</v>
      </c>
      <c r="F40" s="457"/>
      <c r="G40" s="457"/>
      <c r="H40" s="457"/>
      <c r="I40" s="457"/>
      <c r="J40" s="457"/>
      <c r="K40" s="457"/>
      <c r="R40" s="464"/>
      <c r="T40" s="464"/>
    </row>
    <row r="41" spans="1:20" x14ac:dyDescent="0.3">
      <c r="A41" s="457"/>
      <c r="B41" s="457">
        <v>7</v>
      </c>
      <c r="C41" s="18">
        <f t="shared" si="5"/>
        <v>0.11666666666666667</v>
      </c>
      <c r="D41" s="18">
        <f t="shared" si="6"/>
        <v>20.213092325133847</v>
      </c>
      <c r="E41" s="18">
        <f t="shared" si="7"/>
        <v>21.875212461177849</v>
      </c>
      <c r="F41" s="457"/>
      <c r="G41" s="457"/>
      <c r="H41" s="457"/>
      <c r="I41" s="457"/>
      <c r="J41" s="457"/>
      <c r="K41" s="457"/>
      <c r="R41" s="464"/>
      <c r="T41" s="464"/>
    </row>
    <row r="42" spans="1:20" x14ac:dyDescent="0.3">
      <c r="A42" s="457"/>
      <c r="B42" s="457">
        <v>8</v>
      </c>
      <c r="C42" s="18">
        <f t="shared" si="5"/>
        <v>0.13333333333333333</v>
      </c>
      <c r="D42" s="18">
        <f t="shared" si="6"/>
        <v>20.241470975399118</v>
      </c>
      <c r="E42" s="18">
        <f t="shared" si="7"/>
        <v>22.124944583512228</v>
      </c>
      <c r="F42" s="457"/>
      <c r="G42" s="457"/>
      <c r="H42" s="457"/>
      <c r="I42" s="457"/>
      <c r="J42" s="457"/>
      <c r="K42" s="457"/>
      <c r="R42" s="464"/>
      <c r="T42" s="464"/>
    </row>
    <row r="43" spans="1:20" x14ac:dyDescent="0.3">
      <c r="A43" s="457"/>
      <c r="B43" s="457">
        <v>9</v>
      </c>
      <c r="C43" s="18">
        <f t="shared" si="5"/>
        <v>0.15</v>
      </c>
      <c r="D43" s="18">
        <f t="shared" si="6"/>
        <v>20.269360294574415</v>
      </c>
      <c r="E43" s="18">
        <f t="shared" si="7"/>
        <v>22.370370592254851</v>
      </c>
      <c r="F43" s="457"/>
      <c r="G43" s="457"/>
      <c r="H43" s="457"/>
      <c r="I43" s="457"/>
      <c r="J43" s="457"/>
      <c r="K43" s="457"/>
      <c r="R43" s="464"/>
      <c r="T43" s="464"/>
    </row>
    <row r="44" spans="1:20" x14ac:dyDescent="0.3">
      <c r="A44" s="457"/>
      <c r="B44" s="457">
        <v>10</v>
      </c>
      <c r="C44" s="18">
        <f t="shared" si="5"/>
        <v>0.16666666666666666</v>
      </c>
      <c r="D44" s="18">
        <f t="shared" si="6"/>
        <v>20.296768720161644</v>
      </c>
      <c r="E44" s="18">
        <f t="shared" si="7"/>
        <v>22.611564737422469</v>
      </c>
      <c r="F44" s="457"/>
      <c r="G44" s="457"/>
      <c r="H44" s="457"/>
      <c r="I44" s="457"/>
      <c r="J44" s="457"/>
      <c r="K44" s="457"/>
      <c r="R44" s="464"/>
      <c r="T44" s="464"/>
    </row>
    <row r="45" spans="1:20" x14ac:dyDescent="0.3">
      <c r="A45" s="457"/>
      <c r="B45" s="457">
        <v>11</v>
      </c>
      <c r="C45" s="18">
        <f t="shared" si="5"/>
        <v>0.18333333333333332</v>
      </c>
      <c r="D45" s="18">
        <f t="shared" si="6"/>
        <v>20.323704544175449</v>
      </c>
      <c r="E45" s="18">
        <f t="shared" si="7"/>
        <v>22.848599988743953</v>
      </c>
      <c r="F45" s="457"/>
      <c r="G45" s="457"/>
      <c r="H45" s="457"/>
      <c r="I45" s="457"/>
      <c r="J45" s="457"/>
      <c r="K45" s="457"/>
      <c r="R45" s="464"/>
      <c r="T45" s="464"/>
    </row>
    <row r="46" spans="1:20" x14ac:dyDescent="0.3">
      <c r="A46" s="457"/>
      <c r="B46" s="457">
        <v>12</v>
      </c>
      <c r="C46" s="18">
        <f t="shared" si="5"/>
        <v>0.2</v>
      </c>
      <c r="D46" s="18">
        <f t="shared" si="6"/>
        <v>20.350175915651842</v>
      </c>
      <c r="E46" s="18">
        <f t="shared" si="7"/>
        <v>23.081548057736228</v>
      </c>
      <c r="F46" s="457"/>
      <c r="G46" s="457"/>
      <c r="H46" s="457"/>
      <c r="I46" s="457"/>
      <c r="J46" s="457"/>
      <c r="K46" s="457"/>
      <c r="R46" s="464"/>
      <c r="T46" s="464"/>
    </row>
    <row r="47" spans="1:20" x14ac:dyDescent="0.3">
      <c r="A47" s="457"/>
      <c r="B47" s="457">
        <v>13</v>
      </c>
      <c r="C47" s="18">
        <f t="shared" si="5"/>
        <v>0.21666666666666667</v>
      </c>
      <c r="D47" s="18">
        <f t="shared" si="6"/>
        <v>20.376190843113584</v>
      </c>
      <c r="E47" s="18">
        <f t="shared" si="7"/>
        <v>23.310479419399528</v>
      </c>
      <c r="F47" s="457"/>
      <c r="G47" s="457"/>
      <c r="H47" s="457"/>
      <c r="I47" s="457"/>
      <c r="J47" s="457"/>
      <c r="K47" s="457"/>
      <c r="R47" s="464"/>
      <c r="T47" s="464"/>
    </row>
    <row r="48" spans="1:20" x14ac:dyDescent="0.3">
      <c r="A48" s="457"/>
      <c r="B48" s="457">
        <v>14</v>
      </c>
      <c r="C48" s="18">
        <f t="shared" si="5"/>
        <v>0.23333333333333334</v>
      </c>
      <c r="D48" s="18">
        <f t="shared" si="6"/>
        <v>20.401757196993017</v>
      </c>
      <c r="E48" s="18">
        <f t="shared" si="7"/>
        <v>23.535463333538566</v>
      </c>
      <c r="F48" s="457"/>
      <c r="G48" s="457"/>
      <c r="H48" s="457"/>
      <c r="I48" s="457"/>
      <c r="J48" s="457"/>
      <c r="K48" s="457"/>
      <c r="R48" s="464"/>
      <c r="T48" s="464"/>
    </row>
    <row r="49" spans="1:20" x14ac:dyDescent="0.3">
      <c r="A49" s="457"/>
      <c r="B49" s="457">
        <v>15</v>
      </c>
      <c r="C49" s="18">
        <f t="shared" si="5"/>
        <v>0.25</v>
      </c>
      <c r="D49" s="18">
        <f t="shared" si="6"/>
        <v>20.426882712013189</v>
      </c>
      <c r="E49" s="18">
        <f t="shared" si="7"/>
        <v>23.756567865716068</v>
      </c>
      <c r="F49" s="457"/>
      <c r="G49" s="457"/>
      <c r="H49" s="457"/>
      <c r="I49" s="457"/>
      <c r="J49" s="457"/>
      <c r="K49" s="457"/>
      <c r="R49" s="464"/>
      <c r="T49" s="464"/>
    </row>
    <row r="50" spans="1:20" x14ac:dyDescent="0.3">
      <c r="A50" s="457"/>
      <c r="B50" s="457">
        <v>16</v>
      </c>
      <c r="C50" s="18">
        <f t="shared" si="5"/>
        <v>0.26666666666666666</v>
      </c>
      <c r="D50" s="18">
        <f t="shared" si="6"/>
        <v>20.451574989527842</v>
      </c>
      <c r="E50" s="18">
        <f t="shared" si="7"/>
        <v>23.973859907845</v>
      </c>
      <c r="F50" s="457"/>
      <c r="G50" s="457"/>
      <c r="H50" s="457"/>
      <c r="I50" s="457"/>
      <c r="J50" s="457"/>
      <c r="K50" s="457"/>
      <c r="R50" s="464"/>
      <c r="T50" s="464"/>
    </row>
    <row r="51" spans="1:20" x14ac:dyDescent="0.3">
      <c r="A51" s="457"/>
      <c r="B51" s="457">
        <v>17</v>
      </c>
      <c r="C51" s="18">
        <f t="shared" si="5"/>
        <v>0.28333333333333333</v>
      </c>
      <c r="D51" s="18">
        <f t="shared" si="6"/>
        <v>20.475841499821104</v>
      </c>
      <c r="E51" s="18">
        <f t="shared" si="7"/>
        <v>24.187405198425729</v>
      </c>
      <c r="F51" s="457"/>
      <c r="G51" s="457"/>
      <c r="H51" s="457"/>
      <c r="I51" s="457"/>
      <c r="J51" s="457"/>
      <c r="K51" s="457"/>
      <c r="R51" s="464"/>
      <c r="T51" s="464"/>
    </row>
    <row r="52" spans="1:20" x14ac:dyDescent="0.3">
      <c r="B52" s="457">
        <v>18</v>
      </c>
      <c r="C52" s="18">
        <f t="shared" si="5"/>
        <v>0.3</v>
      </c>
      <c r="D52" s="18">
        <f t="shared" si="6"/>
        <v>20.499689584367527</v>
      </c>
      <c r="E52" s="18">
        <f t="shared" si="7"/>
        <v>24.397268342434248</v>
      </c>
      <c r="R52" s="464"/>
      <c r="T52" s="464"/>
    </row>
    <row r="53" spans="1:20" x14ac:dyDescent="0.3">
      <c r="B53" s="457">
        <v>19</v>
      </c>
      <c r="C53" s="18">
        <f t="shared" si="5"/>
        <v>0.31666666666666665</v>
      </c>
      <c r="D53" s="18">
        <f t="shared" si="6"/>
        <v>20.523126458053117</v>
      </c>
      <c r="E53" s="18">
        <f t="shared" si="7"/>
        <v>24.603512830867441</v>
      </c>
      <c r="R53" s="464"/>
      <c r="T53" s="464"/>
    </row>
    <row r="54" spans="1:20" x14ac:dyDescent="0.3">
      <c r="B54" s="457">
        <v>20</v>
      </c>
      <c r="C54" s="18">
        <f t="shared" si="5"/>
        <v>0.33333333333333331</v>
      </c>
      <c r="D54" s="18">
        <f t="shared" si="6"/>
        <v>20.546159211358109</v>
      </c>
      <c r="E54" s="18">
        <f t="shared" si="7"/>
        <v>24.806201059951352</v>
      </c>
      <c r="R54" s="464"/>
      <c r="T54" s="464"/>
    </row>
    <row r="55" spans="1:20" x14ac:dyDescent="0.3">
      <c r="B55" s="457">
        <v>21</v>
      </c>
      <c r="C55" s="18">
        <f t="shared" si="5"/>
        <v>0.35</v>
      </c>
      <c r="D55" s="18">
        <f t="shared" si="6"/>
        <v>20.568794812502073</v>
      </c>
      <c r="E55" s="18">
        <f t="shared" si="7"/>
        <v>25.005394350018257</v>
      </c>
      <c r="R55" s="464"/>
      <c r="T55" s="464"/>
    </row>
    <row r="56" spans="1:20" x14ac:dyDescent="0.3">
      <c r="B56" s="457">
        <v>22</v>
      </c>
      <c r="C56" s="18">
        <f t="shared" si="5"/>
        <v>0.36666666666666664</v>
      </c>
      <c r="D56" s="18">
        <f t="shared" si="6"/>
        <v>20.591040109552068</v>
      </c>
      <c r="E56" s="18">
        <f t="shared" si="7"/>
        <v>25.201152964058199</v>
      </c>
      <c r="R56" s="464"/>
      <c r="T56" s="464"/>
    </row>
    <row r="57" spans="1:20" x14ac:dyDescent="0.3">
      <c r="B57" s="457">
        <v>23</v>
      </c>
      <c r="C57" s="18">
        <f t="shared" si="5"/>
        <v>0.38333333333333336</v>
      </c>
      <c r="D57" s="18">
        <f t="shared" si="6"/>
        <v>20.612901832494398</v>
      </c>
      <c r="E57" s="18">
        <f t="shared" si="7"/>
        <v>25.393536125950693</v>
      </c>
      <c r="R57" s="464"/>
      <c r="T57" s="464"/>
    </row>
    <row r="58" spans="1:20" x14ac:dyDescent="0.3">
      <c r="B58" s="457">
        <v>24</v>
      </c>
      <c r="C58" s="18">
        <f t="shared" si="5"/>
        <v>0.4</v>
      </c>
      <c r="D58" s="18">
        <f t="shared" si="6"/>
        <v>20.634386595270684</v>
      </c>
      <c r="E58" s="18">
        <f t="shared" si="7"/>
        <v>25.582602038382021</v>
      </c>
      <c r="R58" s="464"/>
      <c r="T58" s="464"/>
    </row>
    <row r="59" spans="1:20" x14ac:dyDescent="0.3">
      <c r="B59" s="457">
        <v>25</v>
      </c>
      <c r="C59" s="18">
        <f t="shared" si="5"/>
        <v>0.41666666666666669</v>
      </c>
      <c r="D59" s="18">
        <f t="shared" si="6"/>
        <v>20.655500897778818</v>
      </c>
      <c r="E59" s="18">
        <f t="shared" si="7"/>
        <v>25.768407900453592</v>
      </c>
      <c r="R59" s="464"/>
      <c r="T59" s="464"/>
    </row>
    <row r="60" spans="1:20" x14ac:dyDescent="0.3">
      <c r="B60" s="457">
        <v>26</v>
      </c>
      <c r="C60" s="18">
        <f t="shared" si="5"/>
        <v>0.43333333333333335</v>
      </c>
      <c r="D60" s="18">
        <f t="shared" si="6"/>
        <v>20.676251127839397</v>
      </c>
      <c r="E60" s="18">
        <f t="shared" si="7"/>
        <v>25.951009924986707</v>
      </c>
      <c r="R60" s="464"/>
      <c r="T60" s="464"/>
    </row>
    <row r="61" spans="1:20" x14ac:dyDescent="0.3">
      <c r="B61" s="457">
        <v>27</v>
      </c>
      <c r="C61" s="18">
        <f t="shared" si="5"/>
        <v>0.45</v>
      </c>
      <c r="D61" s="18">
        <f t="shared" si="6"/>
        <v>20.696643563128283</v>
      </c>
      <c r="E61" s="18">
        <f t="shared" si="7"/>
        <v>26.130463355528889</v>
      </c>
      <c r="R61" s="464"/>
      <c r="T61" s="464"/>
    </row>
    <row r="62" spans="1:20" x14ac:dyDescent="0.3">
      <c r="B62" s="457">
        <v>28</v>
      </c>
      <c r="C62" s="18">
        <f t="shared" si="5"/>
        <v>0.46666666666666667</v>
      </c>
      <c r="D62" s="18">
        <f t="shared" si="6"/>
        <v>20.7166843730758</v>
      </c>
      <c r="E62" s="18">
        <f t="shared" si="7"/>
        <v>26.30682248306703</v>
      </c>
      <c r="R62" s="464"/>
      <c r="T62" s="464"/>
    </row>
    <row r="63" spans="1:20" x14ac:dyDescent="0.3">
      <c r="B63" s="457">
        <v>29</v>
      </c>
      <c r="C63" s="18">
        <f t="shared" si="5"/>
        <v>0.48333333333333334</v>
      </c>
      <c r="D63" s="18">
        <f t="shared" si="6"/>
        <v>20.736379620733217</v>
      </c>
      <c r="E63" s="18">
        <f t="shared" si="7"/>
        <v>26.480140662452314</v>
      </c>
      <c r="R63" s="464"/>
      <c r="T63" s="464"/>
    </row>
    <row r="64" spans="1:20" x14ac:dyDescent="0.3">
      <c r="B64" s="457">
        <v>30</v>
      </c>
      <c r="C64" s="18">
        <f t="shared" si="5"/>
        <v>0.5</v>
      </c>
      <c r="D64" s="18">
        <f t="shared" si="6"/>
        <v>20.75573526460704</v>
      </c>
      <c r="E64" s="18">
        <f t="shared" si="7"/>
        <v>26.650470328541939</v>
      </c>
      <c r="R64" s="464"/>
      <c r="T64" s="464"/>
    </row>
    <row r="65" spans="2:20" x14ac:dyDescent="0.3">
      <c r="B65" s="457">
        <v>31</v>
      </c>
      <c r="C65" s="18">
        <f t="shared" si="5"/>
        <v>0.51666666666666672</v>
      </c>
      <c r="D65" s="18">
        <f t="shared" si="6"/>
        <v>20.77475716046165</v>
      </c>
      <c r="E65" s="18">
        <f t="shared" si="7"/>
        <v>26.817863012062517</v>
      </c>
      <c r="R65" s="464"/>
      <c r="T65" s="464"/>
    </row>
    <row r="66" spans="2:20" x14ac:dyDescent="0.3">
      <c r="B66" s="457">
        <v>32</v>
      </c>
      <c r="C66" s="18">
        <f t="shared" si="5"/>
        <v>0.53333333333333333</v>
      </c>
      <c r="D66" s="18">
        <f t="shared" si="6"/>
        <v>20.793451063090899</v>
      </c>
      <c r="E66" s="18">
        <f t="shared" si="7"/>
        <v>26.982369355199921</v>
      </c>
      <c r="R66" s="464"/>
      <c r="T66" s="464"/>
    </row>
    <row r="67" spans="2:20" x14ac:dyDescent="0.3">
      <c r="B67" s="457">
        <v>33</v>
      </c>
      <c r="C67" s="18">
        <f t="shared" si="5"/>
        <v>0.55000000000000004</v>
      </c>
      <c r="D67" s="18">
        <f t="shared" si="6"/>
        <v>20.811822628059133</v>
      </c>
      <c r="E67" s="18">
        <f t="shared" si="7"/>
        <v>27.144039126920354</v>
      </c>
      <c r="R67" s="464"/>
      <c r="T67" s="464"/>
    </row>
    <row r="68" spans="2:20" x14ac:dyDescent="0.3">
      <c r="B68" s="457">
        <v>34</v>
      </c>
      <c r="C68" s="18">
        <f t="shared" si="5"/>
        <v>0.56666666666666665</v>
      </c>
      <c r="D68" s="18">
        <f t="shared" si="6"/>
        <v>20.829877413412181</v>
      </c>
      <c r="E68" s="18">
        <f t="shared" si="7"/>
        <v>27.302921238027192</v>
      </c>
      <c r="R68" s="464"/>
      <c r="T68" s="464"/>
    </row>
    <row r="69" spans="2:20" x14ac:dyDescent="0.3">
      <c r="B69" s="457">
        <v>35</v>
      </c>
      <c r="C69" s="18">
        <f t="shared" si="5"/>
        <v>0.58333333333333337</v>
      </c>
      <c r="D69" s="18">
        <f t="shared" si="6"/>
        <v>20.847620881358889</v>
      </c>
      <c r="E69" s="18">
        <f t="shared" si="7"/>
        <v>27.459063755958233</v>
      </c>
      <c r="R69" s="464"/>
      <c r="T69" s="464"/>
    </row>
    <row r="70" spans="2:20" x14ac:dyDescent="0.3">
      <c r="B70" s="457">
        <v>36</v>
      </c>
      <c r="C70" s="18">
        <f t="shared" si="5"/>
        <v>0.6</v>
      </c>
      <c r="D70" s="18">
        <f t="shared" si="6"/>
        <v>20.865058399923615</v>
      </c>
      <c r="E70" s="18">
        <f t="shared" si="7"/>
        <v>27.612513919327803</v>
      </c>
      <c r="R70" s="464"/>
      <c r="T70" s="464"/>
    </row>
    <row r="71" spans="2:20" x14ac:dyDescent="0.3">
      <c r="B71" s="457">
        <v>37</v>
      </c>
      <c r="C71" s="18">
        <f t="shared" si="5"/>
        <v>0.6166666666666667</v>
      </c>
      <c r="D71" s="18">
        <f t="shared" si="6"/>
        <v>20.882195244570237</v>
      </c>
      <c r="E71" s="18">
        <f t="shared" si="7"/>
        <v>27.763318152218076</v>
      </c>
      <c r="R71" s="464"/>
      <c r="T71" s="464"/>
    </row>
    <row r="72" spans="2:20" x14ac:dyDescent="0.3">
      <c r="B72" s="457">
        <v>38</v>
      </c>
      <c r="C72" s="18">
        <f t="shared" si="5"/>
        <v>0.6333333333333333</v>
      </c>
      <c r="D72" s="18">
        <f t="shared" si="6"/>
        <v>20.899036599798183</v>
      </c>
      <c r="E72" s="18">
        <f t="shared" si="7"/>
        <v>27.911522078224028</v>
      </c>
      <c r="R72" s="464"/>
      <c r="T72" s="464"/>
    </row>
    <row r="73" spans="2:20" x14ac:dyDescent="0.3">
      <c r="B73" s="457">
        <v>39</v>
      </c>
      <c r="C73" s="18">
        <f t="shared" si="5"/>
        <v>0.65</v>
      </c>
      <c r="D73" s="18">
        <f t="shared" si="6"/>
        <v>20.915587560710925</v>
      </c>
      <c r="E73" s="18">
        <f t="shared" si="7"/>
        <v>28.057170534256151</v>
      </c>
      <c r="R73" s="464"/>
      <c r="T73" s="464"/>
    </row>
    <row r="74" spans="2:20" x14ac:dyDescent="0.3">
      <c r="B74" s="457">
        <v>40</v>
      </c>
      <c r="C74" s="18">
        <f t="shared" si="5"/>
        <v>0.66666666666666663</v>
      </c>
      <c r="D74" s="18">
        <f t="shared" si="6"/>
        <v>20.931853134557411</v>
      </c>
      <c r="E74" s="18">
        <f t="shared" si="7"/>
        <v>28.200307584105222</v>
      </c>
      <c r="R74" s="464"/>
      <c r="T74" s="464"/>
    </row>
    <row r="75" spans="2:20" x14ac:dyDescent="0.3">
      <c r="B75" s="457">
        <v>41</v>
      </c>
      <c r="C75" s="18">
        <f t="shared" si="5"/>
        <v>0.68333333333333335</v>
      </c>
      <c r="D75" s="18">
        <f t="shared" si="6"/>
        <v>20.947838242246945</v>
      </c>
      <c r="E75" s="18">
        <f t="shared" si="7"/>
        <v>28.34097653177313</v>
      </c>
      <c r="R75" s="464"/>
      <c r="T75" s="464"/>
    </row>
    <row r="76" spans="2:20" x14ac:dyDescent="0.3">
      <c r="B76" s="457">
        <v>42</v>
      </c>
      <c r="C76" s="18">
        <f t="shared" si="5"/>
        <v>0.7</v>
      </c>
      <c r="D76" s="18">
        <f t="shared" si="6"/>
        <v>20.963547719837941</v>
      </c>
      <c r="E76" s="18">
        <f t="shared" si="7"/>
        <v>28.479219934573891</v>
      </c>
      <c r="R76" s="464"/>
      <c r="T76" s="464"/>
    </row>
    <row r="77" spans="2:20" x14ac:dyDescent="0.3">
      <c r="B77" s="457">
        <v>43</v>
      </c>
      <c r="C77" s="18">
        <f t="shared" si="5"/>
        <v>0.71666666666666667</v>
      </c>
      <c r="D77" s="18">
        <f t="shared" si="6"/>
        <v>20.978986320000988</v>
      </c>
      <c r="E77" s="18">
        <f t="shared" si="7"/>
        <v>28.615079616008703</v>
      </c>
      <c r="R77" s="464"/>
      <c r="T77" s="464"/>
    </row>
    <row r="78" spans="2:20" x14ac:dyDescent="0.3">
      <c r="B78" s="457">
        <v>44</v>
      </c>
      <c r="C78" s="18">
        <f t="shared" si="5"/>
        <v>0.73333333333333328</v>
      </c>
      <c r="D78" s="18">
        <f t="shared" si="6"/>
        <v>20.994158713456713</v>
      </c>
      <c r="E78" s="18">
        <f t="shared" si="7"/>
        <v>28.748596678419066</v>
      </c>
      <c r="R78" s="464"/>
      <c r="T78" s="464"/>
    </row>
    <row r="79" spans="2:20" x14ac:dyDescent="0.3">
      <c r="B79" s="457">
        <v>45</v>
      </c>
      <c r="C79" s="18">
        <f t="shared" si="5"/>
        <v>0.75</v>
      </c>
      <c r="D79" s="18">
        <f t="shared" si="6"/>
        <v>21.009069490388825</v>
      </c>
      <c r="E79" s="18">
        <f t="shared" si="7"/>
        <v>28.87981151542165</v>
      </c>
      <c r="R79" s="464"/>
      <c r="T79" s="464"/>
    </row>
    <row r="80" spans="2:20" x14ac:dyDescent="0.3">
      <c r="B80" s="457">
        <v>46</v>
      </c>
      <c r="C80" s="18">
        <f t="shared" si="5"/>
        <v>0.76666666666666672</v>
      </c>
      <c r="D80" s="18">
        <f t="shared" si="6"/>
        <v>21.02372316183282</v>
      </c>
      <c r="E80" s="18">
        <f t="shared" si="7"/>
        <v>29.00876382412881</v>
      </c>
      <c r="R80" s="464"/>
      <c r="T80" s="464"/>
    </row>
    <row r="81" spans="2:20" x14ac:dyDescent="0.3">
      <c r="B81" s="457">
        <v>47</v>
      </c>
      <c r="C81" s="18">
        <f t="shared" si="5"/>
        <v>0.78333333333333333</v>
      </c>
      <c r="D81" s="18">
        <f t="shared" si="6"/>
        <v>21.038124161040724</v>
      </c>
      <c r="E81" s="18">
        <f t="shared" si="7"/>
        <v>29.13549261715837</v>
      </c>
      <c r="R81" s="464"/>
      <c r="T81" s="464"/>
    </row>
    <row r="82" spans="2:20" x14ac:dyDescent="0.3">
      <c r="B82" s="457">
        <v>48</v>
      </c>
      <c r="C82" s="18">
        <f t="shared" si="5"/>
        <v>0.8</v>
      </c>
      <c r="D82" s="18">
        <f t="shared" si="6"/>
        <v>21.052276844822305</v>
      </c>
      <c r="E82" s="18">
        <f t="shared" si="7"/>
        <v>29.260036234436285</v>
      </c>
      <c r="R82" s="464"/>
      <c r="T82" s="464"/>
    </row>
    <row r="83" spans="2:20" x14ac:dyDescent="0.3">
      <c r="B83" s="457">
        <v>49</v>
      </c>
      <c r="C83" s="18">
        <f t="shared" si="5"/>
        <v>0.81666666666666665</v>
      </c>
      <c r="D83" s="18">
        <f t="shared" si="6"/>
        <v>21.066185494863163</v>
      </c>
      <c r="E83" s="18">
        <f t="shared" si="7"/>
        <v>29.382432354795846</v>
      </c>
      <c r="R83" s="464"/>
      <c r="T83" s="464"/>
    </row>
    <row r="84" spans="2:20" x14ac:dyDescent="0.3">
      <c r="B84" s="457">
        <v>50</v>
      </c>
      <c r="C84" s="18">
        <f t="shared" si="5"/>
        <v>0.83333333333333337</v>
      </c>
      <c r="D84" s="18">
        <f t="shared" si="6"/>
        <v>21.079854319020097</v>
      </c>
      <c r="E84" s="18">
        <f t="shared" si="7"/>
        <v>29.502718007376849</v>
      </c>
      <c r="R84" s="464"/>
      <c r="T84" s="464"/>
    </row>
    <row r="85" spans="2:20" x14ac:dyDescent="0.3">
      <c r="B85" s="457">
        <v>51</v>
      </c>
      <c r="C85" s="18">
        <f t="shared" si="5"/>
        <v>0.85</v>
      </c>
      <c r="D85" s="18">
        <f t="shared" si="6"/>
        <v>21.093287452594115</v>
      </c>
      <c r="E85" s="18">
        <f t="shared" si="7"/>
        <v>29.620929582828204</v>
      </c>
      <c r="R85" s="464"/>
      <c r="T85" s="464"/>
    </row>
    <row r="86" spans="2:20" x14ac:dyDescent="0.3">
      <c r="B86" s="457">
        <v>52</v>
      </c>
      <c r="C86" s="18">
        <f t="shared" si="5"/>
        <v>0.8666666666666667</v>
      </c>
      <c r="D86" s="18">
        <f t="shared" si="6"/>
        <v>21.106488959581522</v>
      </c>
      <c r="E86" s="18">
        <f t="shared" si="7"/>
        <v>29.737102844317398</v>
      </c>
      <c r="R86" s="464"/>
      <c r="T86" s="464"/>
    </row>
    <row r="87" spans="2:20" x14ac:dyDescent="0.3">
      <c r="B87" s="457">
        <v>53</v>
      </c>
      <c r="C87" s="18">
        <f t="shared" si="5"/>
        <v>0.8833333333333333</v>
      </c>
      <c r="D87" s="18">
        <f t="shared" si="6"/>
        <v>21.119462833903423</v>
      </c>
      <c r="E87" s="18">
        <f t="shared" si="7"/>
        <v>29.85127293835011</v>
      </c>
      <c r="R87" s="464"/>
      <c r="T87" s="464"/>
    </row>
    <row r="88" spans="2:20" x14ac:dyDescent="0.3">
      <c r="B88" s="457">
        <v>54</v>
      </c>
      <c r="C88" s="18">
        <f t="shared" si="5"/>
        <v>0.9</v>
      </c>
      <c r="D88" s="18">
        <f t="shared" si="6"/>
        <v>21.132213000614009</v>
      </c>
      <c r="E88" s="18">
        <f t="shared" si="7"/>
        <v>29.963474405403282</v>
      </c>
      <c r="R88" s="464"/>
      <c r="T88" s="464"/>
    </row>
    <row r="89" spans="2:20" x14ac:dyDescent="0.3">
      <c r="B89" s="457">
        <v>55</v>
      </c>
      <c r="C89" s="18">
        <f t="shared" si="5"/>
        <v>0.91666666666666663</v>
      </c>
      <c r="D89" s="18">
        <f t="shared" si="6"/>
        <v>21.144743317088047</v>
      </c>
      <c r="E89" s="18">
        <f t="shared" si="7"/>
        <v>30.073741190374804</v>
      </c>
      <c r="R89" s="464"/>
      <c r="T89" s="464"/>
    </row>
    <row r="90" spans="2:20" x14ac:dyDescent="0.3">
      <c r="B90" s="457">
        <v>56</v>
      </c>
      <c r="C90" s="18">
        <f t="shared" si="5"/>
        <v>0.93333333333333335</v>
      </c>
      <c r="D90" s="18">
        <f t="shared" si="6"/>
        <v>21.157057574187849</v>
      </c>
      <c r="E90" s="18">
        <f t="shared" si="7"/>
        <v>30.182106652853065</v>
      </c>
      <c r="R90" s="464"/>
      <c r="T90" s="464"/>
    </row>
    <row r="91" spans="2:20" x14ac:dyDescent="0.3">
      <c r="B91" s="457">
        <v>57</v>
      </c>
      <c r="C91" s="18">
        <f t="shared" si="5"/>
        <v>0.95</v>
      </c>
      <c r="D91" s="18">
        <f t="shared" si="6"/>
        <v>21.169159497410156</v>
      </c>
      <c r="E91" s="18">
        <f t="shared" si="7"/>
        <v>30.288603577209386</v>
      </c>
      <c r="R91" s="464"/>
      <c r="T91" s="464"/>
    </row>
    <row r="92" spans="2:20" x14ac:dyDescent="0.3">
      <c r="B92" s="457">
        <v>58</v>
      </c>
      <c r="C92" s="18">
        <f t="shared" si="5"/>
        <v>0.96666666666666667</v>
      </c>
      <c r="D92" s="18">
        <f t="shared" si="6"/>
        <v>21.181052748013233</v>
      </c>
      <c r="E92" s="18">
        <f t="shared" si="7"/>
        <v>30.393264182516461</v>
      </c>
      <c r="R92" s="464"/>
      <c r="T92" s="464"/>
    </row>
    <row r="93" spans="2:20" x14ac:dyDescent="0.3">
      <c r="B93" s="457">
        <v>59</v>
      </c>
      <c r="C93" s="18">
        <f t="shared" si="5"/>
        <v>0.98333333333333328</v>
      </c>
      <c r="D93" s="18">
        <f t="shared" si="6"/>
        <v>21.192740924124518</v>
      </c>
      <c r="E93" s="18">
        <f t="shared" si="7"/>
        <v>30.496120132295758</v>
      </c>
      <c r="R93" s="464"/>
      <c r="T93" s="464"/>
    </row>
    <row r="94" spans="2:20" x14ac:dyDescent="0.3">
      <c r="B94" s="457">
        <v>60</v>
      </c>
      <c r="C94" s="18">
        <f t="shared" si="5"/>
        <v>1</v>
      </c>
      <c r="D94" s="18">
        <f t="shared" si="6"/>
        <v>21.204227561829189</v>
      </c>
      <c r="E94" s="18">
        <f t="shared" si="7"/>
        <v>30.597202544096856</v>
      </c>
      <c r="R94" s="464"/>
      <c r="T94" s="464"/>
    </row>
    <row r="95" spans="2:20" x14ac:dyDescent="0.3">
      <c r="B95" s="457">
        <v>61</v>
      </c>
      <c r="C95" s="18">
        <f t="shared" si="5"/>
        <v>1.0166666666666666</v>
      </c>
      <c r="D95" s="18">
        <f t="shared" si="6"/>
        <v>21.215516136239952</v>
      </c>
      <c r="E95" s="18">
        <f t="shared" si="7"/>
        <v>30.696541998911577</v>
      </c>
      <c r="R95" s="464"/>
      <c r="T95" s="464"/>
    </row>
    <row r="96" spans="2:20" x14ac:dyDescent="0.3">
      <c r="B96" s="457">
        <v>62</v>
      </c>
      <c r="C96" s="18">
        <f t="shared" si="5"/>
        <v>1.0333333333333334</v>
      </c>
      <c r="D96" s="18">
        <f t="shared" si="6"/>
        <v>21.226610062548392</v>
      </c>
      <c r="E96" s="18">
        <f t="shared" si="7"/>
        <v>30.794168550425848</v>
      </c>
      <c r="R96" s="464"/>
      <c r="T96" s="464"/>
    </row>
    <row r="97" spans="2:20" x14ac:dyDescent="0.3">
      <c r="B97" s="457">
        <v>63</v>
      </c>
      <c r="C97" s="18">
        <f t="shared" si="5"/>
        <v>1.05</v>
      </c>
      <c r="D97" s="18">
        <f t="shared" si="6"/>
        <v>21.237512697058179</v>
      </c>
      <c r="E97" s="18">
        <f t="shared" si="7"/>
        <v>30.890111734111976</v>
      </c>
      <c r="R97" s="464"/>
      <c r="T97" s="464"/>
    </row>
    <row r="98" spans="2:20" x14ac:dyDescent="0.3">
      <c r="B98" s="457">
        <v>64</v>
      </c>
      <c r="C98" s="18">
        <f t="shared" si="5"/>
        <v>1.0666666666666667</v>
      </c>
      <c r="D98" s="18">
        <f t="shared" si="6"/>
        <v>21.248227338200476</v>
      </c>
      <c r="E98" s="18">
        <f t="shared" si="7"/>
        <v>30.984400576164177</v>
      </c>
      <c r="R98" s="464"/>
      <c r="T98" s="464"/>
    </row>
    <row r="99" spans="2:20" x14ac:dyDescent="0.3">
      <c r="B99" s="457">
        <v>65</v>
      </c>
      <c r="C99" s="18">
        <f t="shared" si="5"/>
        <v>1.0833333333333333</v>
      </c>
      <c r="D99" s="18">
        <f t="shared" si="6"/>
        <v>21.25875722753182</v>
      </c>
      <c r="E99" s="18">
        <f t="shared" si="7"/>
        <v>31.077063602280017</v>
      </c>
      <c r="R99" s="464"/>
      <c r="T99" s="464"/>
    </row>
    <row r="100" spans="2:20" x14ac:dyDescent="0.3">
      <c r="B100" s="457">
        <v>66</v>
      </c>
      <c r="C100" s="18">
        <f t="shared" ref="C100:C163" si="8">B100/60</f>
        <v>1.1000000000000001</v>
      </c>
      <c r="D100" s="18">
        <f t="shared" ref="D100:D163" si="9">$I$32+$G$27/$A$32/$D$32*(1-EXP(-B100/($G$32*$H$32/$A$32/$D$32)))</f>
        <v>21.269105550714823</v>
      </c>
      <c r="E100" s="18">
        <f t="shared" ref="E100:E163" si="10">$I$32+$G$27/$A$32/$E$32*(1-EXP(-B100/($G$32*$H$32/$A$32/$D$32)))</f>
        <v>31.16812884629045</v>
      </c>
      <c r="R100" s="464"/>
      <c r="T100" s="464"/>
    </row>
    <row r="101" spans="2:20" x14ac:dyDescent="0.3">
      <c r="B101" s="457">
        <v>67</v>
      </c>
      <c r="C101" s="18">
        <f t="shared" si="8"/>
        <v>1.1166666666666667</v>
      </c>
      <c r="D101" s="18">
        <f t="shared" si="9"/>
        <v>21.279275438481935</v>
      </c>
      <c r="E101" s="18">
        <f t="shared" si="10"/>
        <v>31.257623858641043</v>
      </c>
      <c r="R101" s="464"/>
      <c r="T101" s="464"/>
    </row>
    <row r="102" spans="2:20" x14ac:dyDescent="0.3">
      <c r="B102" s="457">
        <v>68</v>
      </c>
      <c r="C102" s="18">
        <f t="shared" si="8"/>
        <v>1.1333333333333333</v>
      </c>
      <c r="D102" s="18">
        <f t="shared" si="9"/>
        <v>21.289269967582605</v>
      </c>
      <c r="E102" s="18">
        <f t="shared" si="10"/>
        <v>31.345575714726934</v>
      </c>
      <c r="R102" s="464"/>
      <c r="T102" s="464"/>
    </row>
    <row r="103" spans="2:20" x14ac:dyDescent="0.3">
      <c r="B103" s="457">
        <v>69</v>
      </c>
      <c r="C103" s="18">
        <f t="shared" si="8"/>
        <v>1.1499999999999999</v>
      </c>
      <c r="D103" s="18">
        <f t="shared" si="9"/>
        <v>21.299092161714103</v>
      </c>
      <c r="E103" s="18">
        <f t="shared" si="10"/>
        <v>31.432011023084115</v>
      </c>
      <c r="R103" s="464"/>
      <c r="T103" s="464"/>
    </row>
    <row r="104" spans="2:20" x14ac:dyDescent="0.3">
      <c r="B104" s="457">
        <v>70</v>
      </c>
      <c r="C104" s="18">
        <f t="shared" si="8"/>
        <v>1.1666666666666667</v>
      </c>
      <c r="D104" s="18">
        <f t="shared" si="9"/>
        <v>21.308744992436303</v>
      </c>
      <c r="E104" s="18">
        <f t="shared" si="10"/>
        <v>31.516955933439451</v>
      </c>
      <c r="R104" s="464"/>
      <c r="T104" s="464"/>
    </row>
    <row r="105" spans="2:20" x14ac:dyDescent="0.3">
      <c r="B105" s="457">
        <v>71</v>
      </c>
      <c r="C105" s="18">
        <f t="shared" si="8"/>
        <v>1.1833333333333333</v>
      </c>
      <c r="D105" s="18">
        <f t="shared" si="9"/>
        <v>21.318231380070667</v>
      </c>
      <c r="E105" s="18">
        <f t="shared" si="10"/>
        <v>31.600436144621877</v>
      </c>
      <c r="R105" s="464"/>
      <c r="T105" s="464"/>
    </row>
    <row r="106" spans="2:20" x14ac:dyDescent="0.3">
      <c r="B106" s="457">
        <v>72</v>
      </c>
      <c r="C106" s="18">
        <f t="shared" si="8"/>
        <v>1.2</v>
      </c>
      <c r="D106" s="18">
        <f t="shared" si="9"/>
        <v>21.327554194583776</v>
      </c>
      <c r="E106" s="18">
        <f t="shared" si="10"/>
        <v>31.682476912337222</v>
      </c>
      <c r="R106" s="464"/>
      <c r="T106" s="464"/>
    </row>
    <row r="107" spans="2:20" x14ac:dyDescent="0.3">
      <c r="B107" s="457">
        <v>73</v>
      </c>
      <c r="C107" s="18">
        <f t="shared" si="8"/>
        <v>1.2166666666666666</v>
      </c>
      <c r="D107" s="18">
        <f t="shared" si="9"/>
        <v>21.33671625645556</v>
      </c>
      <c r="E107" s="18">
        <f t="shared" si="10"/>
        <v>31.76310305680893</v>
      </c>
      <c r="R107" s="464"/>
      <c r="T107" s="464"/>
    </row>
    <row r="108" spans="2:20" x14ac:dyDescent="0.3">
      <c r="B108" s="457">
        <v>74</v>
      </c>
      <c r="C108" s="18">
        <f t="shared" si="8"/>
        <v>1.2333333333333334</v>
      </c>
      <c r="D108" s="18">
        <f t="shared" si="9"/>
        <v>21.345720337532619</v>
      </c>
      <c r="E108" s="18">
        <f t="shared" si="10"/>
        <v>31.842338970287056</v>
      </c>
      <c r="R108" s="464"/>
      <c r="T108" s="464"/>
    </row>
    <row r="109" spans="2:20" x14ac:dyDescent="0.3">
      <c r="B109" s="457">
        <v>75</v>
      </c>
      <c r="C109" s="18">
        <f t="shared" si="8"/>
        <v>1.25</v>
      </c>
      <c r="D109" s="18">
        <f t="shared" si="9"/>
        <v>21.354569161866795</v>
      </c>
      <c r="E109" s="18">
        <f t="shared" si="10"/>
        <v>31.920208624427808</v>
      </c>
      <c r="R109" s="464"/>
      <c r="T109" s="464"/>
    </row>
    <row r="110" spans="2:20" x14ac:dyDescent="0.3">
      <c r="B110" s="457">
        <v>76</v>
      </c>
      <c r="C110" s="18">
        <f t="shared" si="8"/>
        <v>1.2666666666666666</v>
      </c>
      <c r="D110" s="18">
        <f t="shared" si="9"/>
        <v>21.363265406539291</v>
      </c>
      <c r="E110" s="18">
        <f t="shared" si="10"/>
        <v>31.996735577545774</v>
      </c>
      <c r="R110" s="464"/>
      <c r="T110" s="464"/>
    </row>
    <row r="111" spans="2:20" x14ac:dyDescent="0.3">
      <c r="B111" s="457">
        <v>77</v>
      </c>
      <c r="C111" s="18">
        <f t="shared" si="8"/>
        <v>1.2833333333333334</v>
      </c>
      <c r="D111" s="18">
        <f t="shared" si="9"/>
        <v>21.371811702470588</v>
      </c>
      <c r="E111" s="18">
        <f t="shared" si="10"/>
        <v>32.071942981741174</v>
      </c>
      <c r="R111" s="464"/>
      <c r="T111" s="464"/>
    </row>
    <row r="112" spans="2:20" x14ac:dyDescent="0.3">
      <c r="B112" s="457">
        <v>78</v>
      </c>
      <c r="C112" s="18">
        <f t="shared" si="8"/>
        <v>1.3</v>
      </c>
      <c r="D112" s="18">
        <f t="shared" si="9"/>
        <v>21.380210635216383</v>
      </c>
      <c r="E112" s="18">
        <f t="shared" si="10"/>
        <v>32.145853589904164</v>
      </c>
      <c r="R112" s="464"/>
      <c r="T112" s="464"/>
    </row>
    <row r="113" spans="2:20" x14ac:dyDescent="0.3">
      <c r="B113" s="457">
        <v>79</v>
      </c>
      <c r="C113" s="18">
        <f t="shared" si="8"/>
        <v>1.3166666666666667</v>
      </c>
      <c r="D113" s="18">
        <f t="shared" si="9"/>
        <v>21.388464745749822</v>
      </c>
      <c r="E113" s="18">
        <f t="shared" si="10"/>
        <v>32.218489762598423</v>
      </c>
      <c r="R113" s="464"/>
      <c r="T113" s="464"/>
    </row>
    <row r="114" spans="2:20" x14ac:dyDescent="0.3">
      <c r="B114" s="457">
        <v>80</v>
      </c>
      <c r="C114" s="18">
        <f t="shared" si="8"/>
        <v>1.3333333333333333</v>
      </c>
      <c r="D114" s="18">
        <f t="shared" si="9"/>
        <v>21.396576531230224</v>
      </c>
      <c r="E114" s="18">
        <f t="shared" si="10"/>
        <v>32.289873474825974</v>
      </c>
      <c r="R114" s="464"/>
      <c r="T114" s="464"/>
    </row>
    <row r="115" spans="2:20" x14ac:dyDescent="0.3">
      <c r="B115" s="457">
        <v>81</v>
      </c>
      <c r="C115" s="18">
        <f t="shared" si="8"/>
        <v>1.35</v>
      </c>
      <c r="D115" s="18">
        <f t="shared" si="9"/>
        <v>21.404548445758568</v>
      </c>
      <c r="E115" s="18">
        <f t="shared" si="10"/>
        <v>32.360026322675402</v>
      </c>
      <c r="R115" s="464"/>
      <c r="T115" s="464"/>
    </row>
    <row r="116" spans="2:20" x14ac:dyDescent="0.3">
      <c r="B116" s="457">
        <v>82</v>
      </c>
      <c r="C116" s="18">
        <f t="shared" si="8"/>
        <v>1.3666666666666667</v>
      </c>
      <c r="D116" s="18">
        <f t="shared" si="9"/>
        <v>21.412382901119937</v>
      </c>
      <c r="E116" s="18">
        <f t="shared" si="10"/>
        <v>32.428969529855458</v>
      </c>
      <c r="R116" s="464"/>
      <c r="T116" s="464"/>
    </row>
    <row r="117" spans="2:20" x14ac:dyDescent="0.3">
      <c r="B117" s="457">
        <v>83</v>
      </c>
      <c r="C117" s="18">
        <f t="shared" si="8"/>
        <v>1.3833333333333333</v>
      </c>
      <c r="D117" s="18">
        <f t="shared" si="9"/>
        <v>21.420082267513177</v>
      </c>
      <c r="E117" s="18">
        <f t="shared" si="10"/>
        <v>32.49672395411595</v>
      </c>
      <c r="R117" s="464"/>
      <c r="T117" s="464"/>
    </row>
    <row r="118" spans="2:20" x14ac:dyDescent="0.3">
      <c r="B118" s="457">
        <v>84</v>
      </c>
      <c r="C118" s="18">
        <f t="shared" si="8"/>
        <v>1.4</v>
      </c>
      <c r="D118" s="18">
        <f t="shared" si="9"/>
        <v>21.427648874267952</v>
      </c>
      <c r="E118" s="18">
        <f t="shared" si="10"/>
        <v>32.563310093557966</v>
      </c>
      <c r="R118" s="464"/>
      <c r="T118" s="464"/>
    </row>
    <row r="119" spans="2:20" x14ac:dyDescent="0.3">
      <c r="B119" s="457">
        <v>85</v>
      </c>
      <c r="C119" s="18">
        <f t="shared" si="8"/>
        <v>1.4166666666666667</v>
      </c>
      <c r="D119" s="18">
        <f t="shared" si="9"/>
        <v>21.435085010549461</v>
      </c>
      <c r="E119" s="18">
        <f t="shared" si="10"/>
        <v>32.628748092835259</v>
      </c>
      <c r="R119" s="464"/>
      <c r="T119" s="464"/>
    </row>
    <row r="120" spans="2:20" x14ac:dyDescent="0.3">
      <c r="B120" s="457">
        <v>86</v>
      </c>
      <c r="C120" s="18">
        <f t="shared" si="8"/>
        <v>1.4333333333333333</v>
      </c>
      <c r="D120" s="18">
        <f t="shared" si="9"/>
        <v>21.442392926050992</v>
      </c>
      <c r="E120" s="18">
        <f t="shared" si="10"/>
        <v>32.693057749248723</v>
      </c>
      <c r="R120" s="464"/>
      <c r="T120" s="464"/>
    </row>
    <row r="121" spans="2:20" x14ac:dyDescent="0.3">
      <c r="B121" s="457">
        <v>87</v>
      </c>
      <c r="C121" s="18">
        <f t="shared" si="8"/>
        <v>1.45</v>
      </c>
      <c r="D121" s="18">
        <f t="shared" si="9"/>
        <v>21.449574831674518</v>
      </c>
      <c r="E121" s="18">
        <f t="shared" si="10"/>
        <v>32.756258518735763</v>
      </c>
    </row>
    <row r="122" spans="2:20" x14ac:dyDescent="0.3">
      <c r="B122" s="457">
        <v>88</v>
      </c>
      <c r="C122" s="18">
        <f t="shared" si="8"/>
        <v>1.4666666666666666</v>
      </c>
      <c r="D122" s="18">
        <f t="shared" si="9"/>
        <v>21.456632900199594</v>
      </c>
      <c r="E122" s="18">
        <f t="shared" si="10"/>
        <v>32.818369521756431</v>
      </c>
    </row>
    <row r="123" spans="2:20" x14ac:dyDescent="0.3">
      <c r="B123" s="457">
        <v>89</v>
      </c>
      <c r="C123" s="18">
        <f t="shared" si="8"/>
        <v>1.4833333333333334</v>
      </c>
      <c r="D123" s="18">
        <f t="shared" si="9"/>
        <v>21.463569266940681</v>
      </c>
      <c r="E123" s="18">
        <f t="shared" si="10"/>
        <v>32.879409549077998</v>
      </c>
    </row>
    <row r="124" spans="2:20" x14ac:dyDescent="0.3">
      <c r="B124" s="457">
        <v>90</v>
      </c>
      <c r="C124" s="18">
        <f t="shared" si="8"/>
        <v>1.5</v>
      </c>
      <c r="D124" s="18">
        <f t="shared" si="9"/>
        <v>21.470386030393165</v>
      </c>
      <c r="E124" s="18">
        <f t="shared" si="10"/>
        <v>32.939397067459851</v>
      </c>
    </row>
    <row r="125" spans="2:20" x14ac:dyDescent="0.3">
      <c r="B125" s="457">
        <v>91</v>
      </c>
      <c r="C125" s="18">
        <f t="shared" si="8"/>
        <v>1.5166666666666666</v>
      </c>
      <c r="D125" s="18">
        <f t="shared" si="9"/>
        <v>21.477085252868218</v>
      </c>
      <c r="E125" s="18">
        <f t="shared" si="10"/>
        <v>32.99835022524033</v>
      </c>
    </row>
    <row r="126" spans="2:20" x14ac:dyDescent="0.3">
      <c r="B126" s="457">
        <v>92</v>
      </c>
      <c r="C126" s="18">
        <f t="shared" si="8"/>
        <v>1.5333333333333334</v>
      </c>
      <c r="D126" s="18">
        <f t="shared" si="9"/>
        <v>21.483668961116731</v>
      </c>
      <c r="E126" s="18">
        <f t="shared" si="10"/>
        <v>33.056286857827239</v>
      </c>
    </row>
    <row r="127" spans="2:20" x14ac:dyDescent="0.3">
      <c r="B127" s="457">
        <v>93</v>
      </c>
      <c r="C127" s="18">
        <f t="shared" si="8"/>
        <v>1.55</v>
      </c>
      <c r="D127" s="18">
        <f t="shared" si="9"/>
        <v>21.490139146942465</v>
      </c>
      <c r="E127" s="18">
        <f t="shared" si="10"/>
        <v>33.113224493093703</v>
      </c>
    </row>
    <row r="128" spans="2:20" x14ac:dyDescent="0.3">
      <c r="B128" s="457">
        <v>94</v>
      </c>
      <c r="C128" s="18">
        <f t="shared" si="8"/>
        <v>1.5666666666666667</v>
      </c>
      <c r="D128" s="18">
        <f t="shared" si="9"/>
        <v>21.496497767804652</v>
      </c>
      <c r="E128" s="18">
        <f t="shared" si="10"/>
        <v>33.169180356680926</v>
      </c>
    </row>
    <row r="129" spans="2:5" x14ac:dyDescent="0.3">
      <c r="B129" s="457">
        <v>95</v>
      </c>
      <c r="C129" s="18">
        <f t="shared" si="8"/>
        <v>1.5833333333333333</v>
      </c>
      <c r="D129" s="18">
        <f t="shared" si="9"/>
        <v>21.502746747410182</v>
      </c>
      <c r="E129" s="18">
        <f t="shared" si="10"/>
        <v>33.224171377209601</v>
      </c>
    </row>
    <row r="130" spans="2:5" x14ac:dyDescent="0.3">
      <c r="B130" s="457">
        <v>96</v>
      </c>
      <c r="C130" s="18">
        <f t="shared" si="8"/>
        <v>1.6</v>
      </c>
      <c r="D130" s="18">
        <f t="shared" si="9"/>
        <v>21.508887976295611</v>
      </c>
      <c r="E130" s="18">
        <f t="shared" si="10"/>
        <v>33.278214191401382</v>
      </c>
    </row>
    <row r="131" spans="2:5" x14ac:dyDescent="0.3">
      <c r="B131" s="457">
        <v>97</v>
      </c>
      <c r="C131" s="18">
        <f t="shared" si="8"/>
        <v>1.6166666666666667</v>
      </c>
      <c r="D131" s="18">
        <f t="shared" si="9"/>
        <v>21.514923312399102</v>
      </c>
      <c r="E131" s="18">
        <f t="shared" si="10"/>
        <v>33.331325149112104</v>
      </c>
    </row>
    <row r="132" spans="2:5" x14ac:dyDescent="0.3">
      <c r="B132" s="457">
        <v>98</v>
      </c>
      <c r="C132" s="18">
        <f t="shared" si="8"/>
        <v>1.6333333333333333</v>
      </c>
      <c r="D132" s="18">
        <f t="shared" si="9"/>
        <v>21.520854581622515</v>
      </c>
      <c r="E132" s="18">
        <f t="shared" si="10"/>
        <v>33.383520318278144</v>
      </c>
    </row>
    <row r="133" spans="2:5" x14ac:dyDescent="0.3">
      <c r="B133" s="457">
        <v>99</v>
      </c>
      <c r="C133" s="18">
        <f t="shared" si="8"/>
        <v>1.65</v>
      </c>
      <c r="D133" s="18">
        <f t="shared" si="9"/>
        <v>21.526683578383821</v>
      </c>
      <c r="E133" s="18">
        <f t="shared" si="10"/>
        <v>33.43481548977762</v>
      </c>
    </row>
    <row r="134" spans="2:5" x14ac:dyDescent="0.3">
      <c r="B134" s="457">
        <v>100</v>
      </c>
      <c r="C134" s="18">
        <f t="shared" si="8"/>
        <v>1.6666666666666667</v>
      </c>
      <c r="D134" s="18">
        <f t="shared" si="9"/>
        <v>21.532412066159953</v>
      </c>
      <c r="E134" s="18">
        <f t="shared" si="10"/>
        <v>33.485226182207597</v>
      </c>
    </row>
    <row r="135" spans="2:5" x14ac:dyDescent="0.3">
      <c r="B135" s="457">
        <v>101</v>
      </c>
      <c r="C135" s="18">
        <f t="shared" si="8"/>
        <v>1.6833333333333333</v>
      </c>
      <c r="D135" s="18">
        <f t="shared" si="9"/>
        <v>21.53804177802035</v>
      </c>
      <c r="E135" s="18">
        <f t="shared" si="10"/>
        <v>33.534767646579077</v>
      </c>
    </row>
    <row r="136" spans="2:5" x14ac:dyDescent="0.3">
      <c r="B136" s="457">
        <v>102</v>
      </c>
      <c r="C136" s="18">
        <f t="shared" si="8"/>
        <v>1.7</v>
      </c>
      <c r="D136" s="18">
        <f t="shared" si="9"/>
        <v>21.543574417151241</v>
      </c>
      <c r="E136" s="18">
        <f t="shared" si="10"/>
        <v>33.583454870930922</v>
      </c>
    </row>
    <row r="137" spans="2:5" x14ac:dyDescent="0.3">
      <c r="B137" s="457">
        <v>103</v>
      </c>
      <c r="C137" s="18">
        <f t="shared" si="8"/>
        <v>1.7166666666666666</v>
      </c>
      <c r="D137" s="18">
        <f t="shared" si="9"/>
        <v>21.549011657370944</v>
      </c>
      <c r="E137" s="18">
        <f t="shared" si="10"/>
        <v>33.631302584864294</v>
      </c>
    </row>
    <row r="138" spans="2:5" x14ac:dyDescent="0.3">
      <c r="B138" s="457">
        <v>104</v>
      </c>
      <c r="C138" s="18">
        <f t="shared" si="8"/>
        <v>1.7333333333333334</v>
      </c>
      <c r="D138" s="18">
        <f t="shared" si="9"/>
        <v>21.554355143636236</v>
      </c>
      <c r="E138" s="18">
        <f t="shared" si="10"/>
        <v>33.678325263998872</v>
      </c>
    </row>
    <row r="139" spans="2:5" x14ac:dyDescent="0.3">
      <c r="B139" s="457">
        <v>105</v>
      </c>
      <c r="C139" s="18">
        <f t="shared" si="8"/>
        <v>1.75</v>
      </c>
      <c r="D139" s="18">
        <f t="shared" si="9"/>
        <v>21.559606492540027</v>
      </c>
      <c r="E139" s="18">
        <f t="shared" si="10"/>
        <v>33.724537134352232</v>
      </c>
    </row>
    <row r="140" spans="2:5" x14ac:dyDescent="0.3">
      <c r="B140" s="457">
        <v>106</v>
      </c>
      <c r="C140" s="18">
        <f t="shared" si="8"/>
        <v>1.7666666666666666</v>
      </c>
      <c r="D140" s="18">
        <f t="shared" si="9"/>
        <v>21.564767292800422</v>
      </c>
      <c r="E140" s="18">
        <f t="shared" si="10"/>
        <v>33.769952176643699</v>
      </c>
    </row>
    <row r="141" spans="2:5" x14ac:dyDescent="0.3">
      <c r="B141" s="457">
        <v>107</v>
      </c>
      <c r="C141" s="18">
        <f t="shared" si="8"/>
        <v>1.7833333333333334</v>
      </c>
      <c r="D141" s="18">
        <f t="shared" si="9"/>
        <v>21.569839105741373</v>
      </c>
      <c r="E141" s="18">
        <f t="shared" si="10"/>
        <v>33.814584130524068</v>
      </c>
    </row>
    <row r="142" spans="2:5" x14ac:dyDescent="0.3">
      <c r="B142" s="457">
        <v>108</v>
      </c>
      <c r="C142" s="18">
        <f t="shared" si="8"/>
        <v>1.8</v>
      </c>
      <c r="D142" s="18">
        <f t="shared" si="9"/>
        <v>21.574823465765029</v>
      </c>
      <c r="E142" s="18">
        <f t="shared" si="10"/>
        <v>33.858446498732256</v>
      </c>
    </row>
    <row r="143" spans="2:5" x14ac:dyDescent="0.3">
      <c r="B143" s="457">
        <v>109</v>
      </c>
      <c r="C143" s="18">
        <f t="shared" si="8"/>
        <v>1.8166666666666667</v>
      </c>
      <c r="D143" s="18">
        <f t="shared" si="9"/>
        <v>21.579721880815956</v>
      </c>
      <c r="E143" s="18">
        <f t="shared" si="10"/>
        <v>33.901552551180416</v>
      </c>
    </row>
    <row r="144" spans="2:5" x14ac:dyDescent="0.3">
      <c r="B144" s="457">
        <v>110</v>
      </c>
      <c r="C144" s="18">
        <f t="shared" si="8"/>
        <v>1.8333333333333333</v>
      </c>
      <c r="D144" s="18">
        <f t="shared" si="9"/>
        <v>21.584535832837332</v>
      </c>
      <c r="E144" s="18">
        <f t="shared" si="10"/>
        <v>33.943915328968515</v>
      </c>
    </row>
    <row r="145" spans="2:5" x14ac:dyDescent="0.3">
      <c r="B145" s="457">
        <v>111</v>
      </c>
      <c r="C145" s="18">
        <f t="shared" si="8"/>
        <v>1.85</v>
      </c>
      <c r="D145" s="18">
        <f t="shared" si="9"/>
        <v>21.58926677821929</v>
      </c>
      <c r="E145" s="18">
        <f t="shared" si="10"/>
        <v>33.985547648329749</v>
      </c>
    </row>
    <row r="146" spans="2:5" x14ac:dyDescent="0.3">
      <c r="B146" s="457">
        <v>112</v>
      </c>
      <c r="C146" s="18">
        <f t="shared" si="8"/>
        <v>1.8666666666666667</v>
      </c>
      <c r="D146" s="18">
        <f t="shared" si="9"/>
        <v>21.593916148239533</v>
      </c>
      <c r="E146" s="18">
        <f t="shared" si="10"/>
        <v>34.0264621045079</v>
      </c>
    </row>
    <row r="147" spans="2:5" x14ac:dyDescent="0.3">
      <c r="B147" s="457">
        <v>113</v>
      </c>
      <c r="C147" s="18">
        <f t="shared" si="8"/>
        <v>1.8833333333333333</v>
      </c>
      <c r="D147" s="18">
        <f t="shared" si="9"/>
        <v>21.598485349496343</v>
      </c>
      <c r="E147" s="18">
        <f t="shared" si="10"/>
        <v>34.066671075567825</v>
      </c>
    </row>
    <row r="148" spans="2:5" x14ac:dyDescent="0.3">
      <c r="B148" s="457">
        <v>114</v>
      </c>
      <c r="C148" s="18">
        <f t="shared" si="8"/>
        <v>1.9</v>
      </c>
      <c r="D148" s="18">
        <f t="shared" si="9"/>
        <v>21.602975764334126</v>
      </c>
      <c r="E148" s="18">
        <f t="shared" si="10"/>
        <v>34.106186726140294</v>
      </c>
    </row>
    <row r="149" spans="2:5" x14ac:dyDescent="0.3">
      <c r="B149" s="457">
        <v>115</v>
      </c>
      <c r="C149" s="18">
        <f t="shared" si="8"/>
        <v>1.9166666666666667</v>
      </c>
      <c r="D149" s="18">
        <f t="shared" si="9"/>
        <v>21.60738875126161</v>
      </c>
      <c r="E149" s="18">
        <f t="shared" si="10"/>
        <v>34.14502101110218</v>
      </c>
    </row>
    <row r="150" spans="2:5" x14ac:dyDescent="0.3">
      <c r="B150" s="457">
        <v>116</v>
      </c>
      <c r="C150" s="18">
        <f t="shared" si="8"/>
        <v>1.9333333333333333</v>
      </c>
      <c r="D150" s="18">
        <f t="shared" si="9"/>
        <v>21.611725645362867</v>
      </c>
      <c r="E150" s="18">
        <f t="shared" si="10"/>
        <v>34.183185679193244</v>
      </c>
    </row>
    <row r="151" spans="2:5" x14ac:dyDescent="0.3">
      <c r="B151" s="457">
        <v>117</v>
      </c>
      <c r="C151" s="18">
        <f t="shared" si="8"/>
        <v>1.95</v>
      </c>
      <c r="D151" s="18">
        <f t="shared" si="9"/>
        <v>21.615987758701198</v>
      </c>
      <c r="E151" s="18">
        <f t="shared" si="10"/>
        <v>34.220692276570553</v>
      </c>
    </row>
    <row r="152" spans="2:5" x14ac:dyDescent="0.3">
      <c r="B152" s="457">
        <v>118</v>
      </c>
      <c r="C152" s="18">
        <f t="shared" si="8"/>
        <v>1.9666666666666666</v>
      </c>
      <c r="D152" s="18">
        <f t="shared" si="9"/>
        <v>21.620176380716089</v>
      </c>
      <c r="E152" s="18">
        <f t="shared" si="10"/>
        <v>34.257552150301592</v>
      </c>
    </row>
    <row r="153" spans="2:5" x14ac:dyDescent="0.3">
      <c r="B153" s="457">
        <v>119</v>
      </c>
      <c r="C153" s="18">
        <f t="shared" si="8"/>
        <v>1.9833333333333334</v>
      </c>
      <c r="D153" s="18">
        <f t="shared" si="9"/>
        <v>21.624292778613313</v>
      </c>
      <c r="E153" s="18">
        <f t="shared" si="10"/>
        <v>34.293776451797157</v>
      </c>
    </row>
    <row r="154" spans="2:5" x14ac:dyDescent="0.3">
      <c r="B154" s="457">
        <v>120</v>
      </c>
      <c r="C154" s="18">
        <f t="shared" si="8"/>
        <v>2</v>
      </c>
      <c r="D154" s="18">
        <f t="shared" si="9"/>
        <v>21.628338197748299</v>
      </c>
      <c r="E154" s="18">
        <f t="shared" si="10"/>
        <v>34.329376140185019</v>
      </c>
    </row>
    <row r="155" spans="2:5" x14ac:dyDescent="0.3">
      <c r="B155" s="457">
        <v>121</v>
      </c>
      <c r="C155" s="18">
        <f t="shared" si="8"/>
        <v>2.0166666666666666</v>
      </c>
      <c r="D155" s="18">
        <f t="shared" si="9"/>
        <v>21.632313862002899</v>
      </c>
      <c r="E155" s="18">
        <f t="shared" si="10"/>
        <v>34.364361985625507</v>
      </c>
    </row>
    <row r="156" spans="2:5" x14ac:dyDescent="0.3">
      <c r="B156" s="457">
        <v>122</v>
      </c>
      <c r="C156" s="18">
        <f t="shared" si="8"/>
        <v>2.0333333333333332</v>
      </c>
      <c r="D156" s="18">
        <f t="shared" si="9"/>
        <v>21.636220974155659</v>
      </c>
      <c r="E156" s="18">
        <f t="shared" si="10"/>
        <v>34.398744572569804</v>
      </c>
    </row>
    <row r="157" spans="2:5" x14ac:dyDescent="0.3">
      <c r="B157" s="457">
        <v>123</v>
      </c>
      <c r="C157" s="18">
        <f t="shared" si="8"/>
        <v>2.0499999999999998</v>
      </c>
      <c r="D157" s="18">
        <f t="shared" si="9"/>
        <v>21.640060716245696</v>
      </c>
      <c r="E157" s="18">
        <f t="shared" si="10"/>
        <v>34.432534302962139</v>
      </c>
    </row>
    <row r="158" spans="2:5" x14ac:dyDescent="0.3">
      <c r="B158" s="457">
        <v>124</v>
      </c>
      <c r="C158" s="18">
        <f t="shared" si="8"/>
        <v>2.0666666666666669</v>
      </c>
      <c r="D158" s="18">
        <f t="shared" si="9"/>
        <v>21.643834249930311</v>
      </c>
      <c r="E158" s="18">
        <f t="shared" si="10"/>
        <v>34.465741399386744</v>
      </c>
    </row>
    <row r="159" spans="2:5" x14ac:dyDescent="0.3">
      <c r="B159" s="457">
        <v>125</v>
      </c>
      <c r="C159" s="18">
        <f t="shared" si="8"/>
        <v>2.0833333333333335</v>
      </c>
      <c r="D159" s="18">
        <f t="shared" si="9"/>
        <v>21.647542716836426</v>
      </c>
      <c r="E159" s="18">
        <f t="shared" si="10"/>
        <v>34.498375908160554</v>
      </c>
    </row>
    <row r="160" spans="2:5" x14ac:dyDescent="0.3">
      <c r="B160" s="457">
        <v>126</v>
      </c>
      <c r="C160" s="18">
        <f t="shared" si="8"/>
        <v>2.1</v>
      </c>
      <c r="D160" s="18">
        <f t="shared" si="9"/>
        <v>21.651187238905973</v>
      </c>
      <c r="E160" s="18">
        <f t="shared" si="10"/>
        <v>34.530447702372548</v>
      </c>
    </row>
    <row r="161" spans="2:5" x14ac:dyDescent="0.3">
      <c r="B161" s="457">
        <v>127</v>
      </c>
      <c r="C161" s="18">
        <f t="shared" si="8"/>
        <v>2.1166666666666667</v>
      </c>
      <c r="D161" s="18">
        <f t="shared" si="9"/>
        <v>21.654768918735311</v>
      </c>
      <c r="E161" s="18">
        <f t="shared" si="10"/>
        <v>34.561966484870723</v>
      </c>
    </row>
    <row r="162" spans="2:5" x14ac:dyDescent="0.3">
      <c r="B162" s="457">
        <v>128</v>
      </c>
      <c r="C162" s="18">
        <f t="shared" si="8"/>
        <v>2.1333333333333333</v>
      </c>
      <c r="D162" s="18">
        <f t="shared" si="9"/>
        <v>21.65828883990881</v>
      </c>
      <c r="E162" s="18">
        <f t="shared" si="10"/>
        <v>34.592941791197539</v>
      </c>
    </row>
    <row r="163" spans="2:5" x14ac:dyDescent="0.3">
      <c r="B163" s="457">
        <v>129</v>
      </c>
      <c r="C163" s="18">
        <f t="shared" si="8"/>
        <v>2.15</v>
      </c>
      <c r="D163" s="18">
        <f t="shared" si="9"/>
        <v>21.661748067326677</v>
      </c>
      <c r="E163" s="18">
        <f t="shared" si="10"/>
        <v>34.623382992474767</v>
      </c>
    </row>
    <row r="164" spans="2:5" x14ac:dyDescent="0.3">
      <c r="B164" s="457">
        <v>130</v>
      </c>
      <c r="C164" s="18">
        <f t="shared" ref="C164:C227" si="11">B164/60</f>
        <v>2.1666666666666665</v>
      </c>
      <c r="D164" s="18">
        <f t="shared" ref="D164:D227" si="12">$I$32+$G$27/$A$32/$D$32*(1-EXP(-B164/($G$32*$H$32/$A$32/$D$32)))</f>
        <v>21.66514764752711</v>
      </c>
      <c r="E164" s="18">
        <f t="shared" ref="E164:E227" si="13">$I$32+$G$27/$A$32/$E$32*(1-EXP(-B164/($G$32*$H$32/$A$32/$D$32)))</f>
        <v>34.653299298238579</v>
      </c>
    </row>
    <row r="165" spans="2:5" x14ac:dyDescent="0.3">
      <c r="B165" s="457">
        <v>131</v>
      </c>
      <c r="C165" s="18">
        <f t="shared" si="11"/>
        <v>2.1833333333333331</v>
      </c>
      <c r="D165" s="18">
        <f t="shared" si="12"/>
        <v>21.668488609002928</v>
      </c>
      <c r="E165" s="18">
        <f t="shared" si="13"/>
        <v>34.682699759225756</v>
      </c>
    </row>
    <row r="166" spans="2:5" x14ac:dyDescent="0.3">
      <c r="B166" s="457">
        <v>132</v>
      </c>
      <c r="C166" s="18">
        <f t="shared" si="11"/>
        <v>2.2000000000000002</v>
      </c>
      <c r="D166" s="18">
        <f t="shared" si="12"/>
        <v>21.671771962512711</v>
      </c>
      <c r="E166" s="18">
        <f t="shared" si="13"/>
        <v>34.711593270111848</v>
      </c>
    </row>
    <row r="167" spans="2:5" x14ac:dyDescent="0.3">
      <c r="B167" s="457">
        <v>133</v>
      </c>
      <c r="C167" s="18">
        <f t="shared" si="11"/>
        <v>2.2166666666666668</v>
      </c>
      <c r="D167" s="18">
        <f t="shared" si="12"/>
        <v>21.674998701386606</v>
      </c>
      <c r="E167" s="18">
        <f t="shared" si="13"/>
        <v>34.739988572202144</v>
      </c>
    </row>
    <row r="168" spans="2:5" x14ac:dyDescent="0.3">
      <c r="B168" s="457">
        <v>134</v>
      </c>
      <c r="C168" s="18">
        <f t="shared" si="11"/>
        <v>2.2333333333333334</v>
      </c>
      <c r="D168" s="18">
        <f t="shared" si="12"/>
        <v>21.67816980182684</v>
      </c>
      <c r="E168" s="18">
        <f t="shared" si="13"/>
        <v>34.767894256076211</v>
      </c>
    </row>
    <row r="169" spans="2:5" x14ac:dyDescent="0.3">
      <c r="B169" s="457">
        <v>135</v>
      </c>
      <c r="C169" s="18">
        <f t="shared" si="11"/>
        <v>2.25</v>
      </c>
      <c r="D169" s="18">
        <f t="shared" si="12"/>
        <v>21.681286223203049</v>
      </c>
      <c r="E169" s="18">
        <f t="shared" si="13"/>
        <v>34.795318764186845</v>
      </c>
    </row>
    <row r="170" spans="2:5" x14ac:dyDescent="0.3">
      <c r="B170" s="457">
        <v>136</v>
      </c>
      <c r="C170" s="18">
        <f t="shared" si="11"/>
        <v>2.2666666666666666</v>
      </c>
      <c r="D170" s="18">
        <f t="shared" si="12"/>
        <v>21.684348908342525</v>
      </c>
      <c r="E170" s="18">
        <f t="shared" si="13"/>
        <v>34.822270393414222</v>
      </c>
    </row>
    <row r="171" spans="2:5" x14ac:dyDescent="0.3">
      <c r="B171" s="457">
        <v>137</v>
      </c>
      <c r="C171" s="18">
        <f t="shared" si="11"/>
        <v>2.2833333333333332</v>
      </c>
      <c r="D171" s="18">
        <f t="shared" si="12"/>
        <v>21.687358783815455</v>
      </c>
      <c r="E171" s="18">
        <f t="shared" si="13"/>
        <v>34.848757297576</v>
      </c>
    </row>
    <row r="172" spans="2:5" x14ac:dyDescent="0.3">
      <c r="B172" s="457">
        <v>138</v>
      </c>
      <c r="C172" s="18">
        <f t="shared" si="11"/>
        <v>2.2999999999999998</v>
      </c>
      <c r="D172" s="18">
        <f t="shared" si="12"/>
        <v>21.690316760215239</v>
      </c>
      <c r="E172" s="18">
        <f t="shared" si="13"/>
        <v>34.874787489894103</v>
      </c>
    </row>
    <row r="173" spans="2:5" x14ac:dyDescent="0.3">
      <c r="B173" s="457">
        <v>139</v>
      </c>
      <c r="C173" s="18">
        <f t="shared" si="11"/>
        <v>2.3166666666666669</v>
      </c>
      <c r="D173" s="18">
        <f t="shared" si="12"/>
        <v>21.693223732433982</v>
      </c>
      <c r="E173" s="18">
        <f t="shared" si="13"/>
        <v>34.900368845419052</v>
      </c>
    </row>
    <row r="174" spans="2:5" x14ac:dyDescent="0.3">
      <c r="B174" s="457">
        <v>140</v>
      </c>
      <c r="C174" s="18">
        <f t="shared" si="11"/>
        <v>2.3333333333333335</v>
      </c>
      <c r="D174" s="18">
        <f t="shared" si="12"/>
        <v>21.696080579933227</v>
      </c>
      <c r="E174" s="18">
        <f t="shared" si="13"/>
        <v>34.925509103412402</v>
      </c>
    </row>
    <row r="175" spans="2:5" x14ac:dyDescent="0.3">
      <c r="B175" s="457">
        <v>141</v>
      </c>
      <c r="C175" s="18">
        <f t="shared" si="11"/>
        <v>2.35</v>
      </c>
      <c r="D175" s="18">
        <f t="shared" si="12"/>
        <v>21.698888167010018</v>
      </c>
      <c r="E175" s="18">
        <f t="shared" si="13"/>
        <v>34.950215869688179</v>
      </c>
    </row>
    <row r="176" spans="2:5" x14ac:dyDescent="0.3">
      <c r="B176" s="457">
        <v>142</v>
      </c>
      <c r="C176" s="18">
        <f t="shared" si="11"/>
        <v>2.3666666666666667</v>
      </c>
      <c r="D176" s="18">
        <f t="shared" si="12"/>
        <v>21.701647343058394</v>
      </c>
      <c r="E176" s="18">
        <f t="shared" si="13"/>
        <v>34.974496618913861</v>
      </c>
    </row>
    <row r="177" spans="2:5" x14ac:dyDescent="0.3">
      <c r="B177" s="457">
        <v>143</v>
      </c>
      <c r="C177" s="18">
        <f t="shared" si="11"/>
        <v>2.3833333333333333</v>
      </c>
      <c r="D177" s="18">
        <f t="shared" si="12"/>
        <v>21.704358942826339</v>
      </c>
      <c r="E177" s="18">
        <f t="shared" si="13"/>
        <v>34.99835869687179</v>
      </c>
    </row>
    <row r="178" spans="2:5" x14ac:dyDescent="0.3">
      <c r="B178" s="457">
        <v>144</v>
      </c>
      <c r="C178" s="18">
        <f t="shared" si="11"/>
        <v>2.4</v>
      </c>
      <c r="D178" s="18">
        <f t="shared" si="12"/>
        <v>21.707023786668348</v>
      </c>
      <c r="E178" s="18">
        <f t="shared" si="13"/>
        <v>35.021809322681463</v>
      </c>
    </row>
    <row r="179" spans="2:5" x14ac:dyDescent="0.3">
      <c r="B179" s="457">
        <v>145</v>
      </c>
      <c r="C179" s="18">
        <f t="shared" si="11"/>
        <v>2.4166666666666665</v>
      </c>
      <c r="D179" s="18">
        <f t="shared" si="12"/>
        <v>21.709642680793593</v>
      </c>
      <c r="E179" s="18">
        <f t="shared" si="13"/>
        <v>35.044855590983616</v>
      </c>
    </row>
    <row r="180" spans="2:5" x14ac:dyDescent="0.3">
      <c r="B180" s="457">
        <v>146</v>
      </c>
      <c r="C180" s="18">
        <f t="shared" si="11"/>
        <v>2.4333333333333331</v>
      </c>
      <c r="D180" s="18">
        <f t="shared" si="12"/>
        <v>21.71221641750984</v>
      </c>
      <c r="E180" s="18">
        <f t="shared" si="13"/>
        <v>35.067504474086597</v>
      </c>
    </row>
    <row r="181" spans="2:5" x14ac:dyDescent="0.3">
      <c r="B181" s="457">
        <v>147</v>
      </c>
      <c r="C181" s="18">
        <f t="shared" si="11"/>
        <v>2.4500000000000002</v>
      </c>
      <c r="D181" s="18">
        <f t="shared" si="12"/>
        <v>21.714745775463147</v>
      </c>
      <c r="E181" s="18">
        <f t="shared" si="13"/>
        <v>35.089762824075706</v>
      </c>
    </row>
    <row r="182" spans="2:5" x14ac:dyDescent="0.3">
      <c r="B182" s="457">
        <v>148</v>
      </c>
      <c r="C182" s="18">
        <f t="shared" si="11"/>
        <v>2.4666666666666668</v>
      </c>
      <c r="D182" s="18">
        <f t="shared" si="12"/>
        <v>21.717231519873437</v>
      </c>
      <c r="E182" s="18">
        <f t="shared" si="13"/>
        <v>35.111637374886236</v>
      </c>
    </row>
    <row r="183" spans="2:5" x14ac:dyDescent="0.3">
      <c r="B183" s="457">
        <v>149</v>
      </c>
      <c r="C183" s="18">
        <f t="shared" si="11"/>
        <v>2.4833333333333334</v>
      </c>
      <c r="D183" s="18">
        <f t="shared" si="12"/>
        <v>21.719674402765985</v>
      </c>
      <c r="E183" s="18">
        <f t="shared" si="13"/>
        <v>35.13313474434068</v>
      </c>
    </row>
    <row r="184" spans="2:5" x14ac:dyDescent="0.3">
      <c r="B184" s="457">
        <v>150</v>
      </c>
      <c r="C184" s="18">
        <f t="shared" si="11"/>
        <v>2.5</v>
      </c>
      <c r="D184" s="18">
        <f t="shared" si="12"/>
        <v>21.722075163198966</v>
      </c>
      <c r="E184" s="18">
        <f t="shared" si="13"/>
        <v>35.154261436150897</v>
      </c>
    </row>
    <row r="185" spans="2:5" x14ac:dyDescent="0.3">
      <c r="B185" s="457">
        <v>151</v>
      </c>
      <c r="C185" s="18">
        <f t="shared" si="11"/>
        <v>2.5166666666666666</v>
      </c>
      <c r="D185" s="18">
        <f t="shared" si="12"/>
        <v>21.724434527487009</v>
      </c>
      <c r="E185" s="18">
        <f t="shared" si="13"/>
        <v>35.17502384188569</v>
      </c>
    </row>
    <row r="186" spans="2:5" x14ac:dyDescent="0.3">
      <c r="B186" s="457">
        <v>152</v>
      </c>
      <c r="C186" s="18">
        <f t="shared" si="11"/>
        <v>2.5333333333333332</v>
      </c>
      <c r="D186" s="18">
        <f t="shared" si="12"/>
        <v>21.726753209420963</v>
      </c>
      <c r="E186" s="18">
        <f t="shared" si="13"/>
        <v>35.195428242904484</v>
      </c>
    </row>
    <row r="187" spans="2:5" x14ac:dyDescent="0.3">
      <c r="B187" s="457">
        <v>153</v>
      </c>
      <c r="C187" s="18">
        <f t="shared" si="11"/>
        <v>2.5499999999999998</v>
      </c>
      <c r="D187" s="18">
        <f t="shared" si="12"/>
        <v>21.729031910483826</v>
      </c>
      <c r="E187" s="18">
        <f t="shared" si="13"/>
        <v>35.215480812257667</v>
      </c>
    </row>
    <row r="188" spans="2:5" x14ac:dyDescent="0.3">
      <c r="B188" s="457">
        <v>154</v>
      </c>
      <c r="C188" s="18">
        <f t="shared" si="11"/>
        <v>2.5666666666666669</v>
      </c>
      <c r="D188" s="18">
        <f t="shared" si="12"/>
        <v>21.731271320062969</v>
      </c>
      <c r="E188" s="18">
        <f t="shared" si="13"/>
        <v>35.235187616554136</v>
      </c>
    </row>
    <row r="189" spans="2:5" x14ac:dyDescent="0.3">
      <c r="B189" s="457">
        <v>155</v>
      </c>
      <c r="C189" s="18">
        <f t="shared" si="11"/>
        <v>2.5833333333333335</v>
      </c>
      <c r="D189" s="18">
        <f t="shared" si="12"/>
        <v>21.733472115658714</v>
      </c>
      <c r="E189" s="18">
        <f t="shared" si="13"/>
        <v>35.254554617796686</v>
      </c>
    </row>
    <row r="190" spans="2:5" x14ac:dyDescent="0.3">
      <c r="B190" s="457">
        <v>156</v>
      </c>
      <c r="C190" s="18">
        <f t="shared" si="11"/>
        <v>2.6</v>
      </c>
      <c r="D190" s="18">
        <f t="shared" si="12"/>
        <v>21.735634963089286</v>
      </c>
      <c r="E190" s="18">
        <f t="shared" si="13"/>
        <v>35.273587675185702</v>
      </c>
    </row>
    <row r="191" spans="2:5" x14ac:dyDescent="0.3">
      <c r="B191" s="457">
        <v>157</v>
      </c>
      <c r="C191" s="18">
        <f t="shared" si="11"/>
        <v>2.6166666666666667</v>
      </c>
      <c r="D191" s="18">
        <f t="shared" si="12"/>
        <v>21.737760516692251</v>
      </c>
      <c r="E191" s="18">
        <f t="shared" si="13"/>
        <v>35.292292546891801</v>
      </c>
    </row>
    <row r="192" spans="2:5" x14ac:dyDescent="0.3">
      <c r="B192" s="457">
        <v>158</v>
      </c>
      <c r="C192" s="18">
        <f t="shared" si="11"/>
        <v>2.6333333333333333</v>
      </c>
      <c r="D192" s="18">
        <f t="shared" si="12"/>
        <v>21.739849419522482</v>
      </c>
      <c r="E192" s="18">
        <f t="shared" si="13"/>
        <v>35.310674891797852</v>
      </c>
    </row>
    <row r="193" spans="2:5" x14ac:dyDescent="0.3">
      <c r="B193" s="457">
        <v>159</v>
      </c>
      <c r="C193" s="18">
        <f t="shared" si="11"/>
        <v>2.65</v>
      </c>
      <c r="D193" s="18">
        <f t="shared" si="12"/>
        <v>21.741902303546706</v>
      </c>
      <c r="E193" s="18">
        <f t="shared" si="13"/>
        <v>35.328740271211011</v>
      </c>
    </row>
    <row r="194" spans="2:5" x14ac:dyDescent="0.3">
      <c r="B194" s="457">
        <v>160</v>
      </c>
      <c r="C194" s="18">
        <f t="shared" si="11"/>
        <v>2.6666666666666665</v>
      </c>
      <c r="D194" s="18">
        <f t="shared" si="12"/>
        <v>21.743919789834678</v>
      </c>
      <c r="E194" s="18">
        <f t="shared" si="13"/>
        <v>35.346494150545183</v>
      </c>
    </row>
    <row r="195" spans="2:5" x14ac:dyDescent="0.3">
      <c r="B195" s="457">
        <v>161</v>
      </c>
      <c r="C195" s="18">
        <f t="shared" si="11"/>
        <v>2.6833333333333331</v>
      </c>
      <c r="D195" s="18">
        <f t="shared" si="12"/>
        <v>21.745902488747106</v>
      </c>
      <c r="E195" s="18">
        <f t="shared" si="13"/>
        <v>35.363941900974538</v>
      </c>
    </row>
    <row r="196" spans="2:5" x14ac:dyDescent="0.3">
      <c r="B196" s="457">
        <v>162</v>
      </c>
      <c r="C196" s="18">
        <f t="shared" si="11"/>
        <v>2.7</v>
      </c>
      <c r="D196" s="18">
        <f t="shared" si="12"/>
        <v>21.747851000120281</v>
      </c>
      <c r="E196" s="18">
        <f t="shared" si="13"/>
        <v>35.381088801058468</v>
      </c>
    </row>
    <row r="197" spans="2:5" x14ac:dyDescent="0.3">
      <c r="B197" s="457">
        <v>163</v>
      </c>
      <c r="C197" s="18">
        <f t="shared" si="11"/>
        <v>2.7166666666666668</v>
      </c>
      <c r="D197" s="18">
        <f t="shared" si="12"/>
        <v>21.749765913447558</v>
      </c>
      <c r="E197" s="18">
        <f t="shared" si="13"/>
        <v>35.397940038338518</v>
      </c>
    </row>
    <row r="198" spans="2:5" x14ac:dyDescent="0.3">
      <c r="B198" s="457">
        <v>164</v>
      </c>
      <c r="C198" s="18">
        <f t="shared" si="11"/>
        <v>2.7333333333333334</v>
      </c>
      <c r="D198" s="18">
        <f t="shared" si="12"/>
        <v>21.751647808057708</v>
      </c>
      <c r="E198" s="18">
        <f t="shared" si="13"/>
        <v>35.414500710907824</v>
      </c>
    </row>
    <row r="199" spans="2:5" x14ac:dyDescent="0.3">
      <c r="B199" s="457">
        <v>165</v>
      </c>
      <c r="C199" s="18">
        <f t="shared" si="11"/>
        <v>2.75</v>
      </c>
      <c r="D199" s="18">
        <f t="shared" si="12"/>
        <v>21.753497253290163</v>
      </c>
      <c r="E199" s="18">
        <f t="shared" si="13"/>
        <v>35.43077582895345</v>
      </c>
    </row>
    <row r="200" spans="2:5" x14ac:dyDescent="0.3">
      <c r="B200" s="457">
        <v>166</v>
      </c>
      <c r="C200" s="18">
        <f t="shared" si="11"/>
        <v>2.7666666666666666</v>
      </c>
      <c r="D200" s="18">
        <f t="shared" si="12"/>
        <v>21.755314808667293</v>
      </c>
      <c r="E200" s="18">
        <f t="shared" si="13"/>
        <v>35.446770316272172</v>
      </c>
    </row>
    <row r="201" spans="2:5" x14ac:dyDescent="0.3">
      <c r="B201" s="457">
        <v>167</v>
      </c>
      <c r="C201" s="18">
        <f t="shared" si="11"/>
        <v>2.7833333333333332</v>
      </c>
      <c r="D201" s="18">
        <f t="shared" si="12"/>
        <v>21.757101024063644</v>
      </c>
      <c r="E201" s="18">
        <f t="shared" si="13"/>
        <v>35.462489011760063</v>
      </c>
    </row>
    <row r="202" spans="2:5" x14ac:dyDescent="0.3">
      <c r="B202" s="457">
        <v>168</v>
      </c>
      <c r="C202" s="18">
        <f t="shared" si="11"/>
        <v>2.8</v>
      </c>
      <c r="D202" s="18">
        <f t="shared" si="12"/>
        <v>21.758856439872325</v>
      </c>
      <c r="E202" s="18">
        <f t="shared" si="13"/>
        <v>35.477936670876446</v>
      </c>
    </row>
    <row r="203" spans="2:5" x14ac:dyDescent="0.3">
      <c r="B203" s="457">
        <v>169</v>
      </c>
      <c r="C203" s="18">
        <f t="shared" si="11"/>
        <v>2.8166666666666669</v>
      </c>
      <c r="D203" s="18">
        <f t="shared" si="12"/>
        <v>21.760581587168478</v>
      </c>
      <c r="E203" s="18">
        <f t="shared" si="13"/>
        <v>35.493117967082611</v>
      </c>
    </row>
    <row r="204" spans="2:5" x14ac:dyDescent="0.3">
      <c r="B204" s="457">
        <v>170</v>
      </c>
      <c r="C204" s="18">
        <f t="shared" si="11"/>
        <v>2.8333333333333335</v>
      </c>
      <c r="D204" s="18">
        <f t="shared" si="12"/>
        <v>21.76227698786996</v>
      </c>
      <c r="E204" s="18">
        <f t="shared" si="13"/>
        <v>35.50803749325565</v>
      </c>
    </row>
    <row r="205" spans="2:5" x14ac:dyDescent="0.3">
      <c r="B205" s="457">
        <v>171</v>
      </c>
      <c r="C205" s="18">
        <f t="shared" si="11"/>
        <v>2.85</v>
      </c>
      <c r="D205" s="18">
        <f t="shared" si="12"/>
        <v>21.76394315489523</v>
      </c>
      <c r="E205" s="18">
        <f t="shared" si="13"/>
        <v>35.522699763078023</v>
      </c>
    </row>
    <row r="206" spans="2:5" x14ac:dyDescent="0.3">
      <c r="B206" s="457">
        <v>172</v>
      </c>
      <c r="C206" s="18">
        <f t="shared" si="11"/>
        <v>2.8666666666666667</v>
      </c>
      <c r="D206" s="18">
        <f t="shared" si="12"/>
        <v>21.765580592318532</v>
      </c>
      <c r="E206" s="18">
        <f t="shared" si="13"/>
        <v>35.537109212403067</v>
      </c>
    </row>
    <row r="207" spans="2:5" x14ac:dyDescent="0.3">
      <c r="B207" s="457">
        <v>173</v>
      </c>
      <c r="C207" s="18">
        <f t="shared" si="11"/>
        <v>2.8833333333333333</v>
      </c>
      <c r="D207" s="18">
        <f t="shared" si="12"/>
        <v>21.767189795522388</v>
      </c>
      <c r="E207" s="18">
        <f t="shared" si="13"/>
        <v>35.55127020059701</v>
      </c>
    </row>
    <row r="208" spans="2:5" x14ac:dyDescent="0.3">
      <c r="B208" s="457">
        <v>174</v>
      </c>
      <c r="C208" s="18">
        <f t="shared" si="11"/>
        <v>2.9</v>
      </c>
      <c r="D208" s="18">
        <f t="shared" si="12"/>
        <v>21.768771251347481</v>
      </c>
      <c r="E208" s="18">
        <f t="shared" si="13"/>
        <v>35.565187011857823</v>
      </c>
    </row>
    <row r="209" spans="2:5" x14ac:dyDescent="0.3">
      <c r="B209" s="457">
        <v>175</v>
      </c>
      <c r="C209" s="18">
        <f t="shared" si="11"/>
        <v>2.9166666666666665</v>
      </c>
      <c r="D209" s="18">
        <f t="shared" si="12"/>
        <v>21.770325438239926</v>
      </c>
      <c r="E209" s="18">
        <f t="shared" si="13"/>
        <v>35.578863856511362</v>
      </c>
    </row>
    <row r="210" spans="2:5" x14ac:dyDescent="0.3">
      <c r="B210" s="457">
        <v>176</v>
      </c>
      <c r="C210" s="18">
        <f t="shared" si="11"/>
        <v>2.9333333333333331</v>
      </c>
      <c r="D210" s="18">
        <f t="shared" si="12"/>
        <v>21.771852826396035</v>
      </c>
      <c r="E210" s="18">
        <f t="shared" si="13"/>
        <v>35.592304872285126</v>
      </c>
    </row>
    <row r="211" spans="2:5" x14ac:dyDescent="0.3">
      <c r="B211" s="457">
        <v>177</v>
      </c>
      <c r="C211" s="18">
        <f t="shared" si="11"/>
        <v>2.95</v>
      </c>
      <c r="D211" s="18">
        <f t="shared" si="12"/>
        <v>21.773353877904551</v>
      </c>
      <c r="E211" s="18">
        <f t="shared" si="13"/>
        <v>35.605514125560049</v>
      </c>
    </row>
    <row r="212" spans="2:5" x14ac:dyDescent="0.3">
      <c r="B212" s="457">
        <v>178</v>
      </c>
      <c r="C212" s="18">
        <f t="shared" si="11"/>
        <v>2.9666666666666668</v>
      </c>
      <c r="D212" s="18">
        <f t="shared" si="12"/>
        <v>21.774829046886452</v>
      </c>
      <c r="E212" s="18">
        <f t="shared" si="13"/>
        <v>35.618495612600782</v>
      </c>
    </row>
    <row r="213" spans="2:5" x14ac:dyDescent="0.3">
      <c r="B213" s="457">
        <v>179</v>
      </c>
      <c r="C213" s="18">
        <f t="shared" si="11"/>
        <v>2.9833333333333334</v>
      </c>
      <c r="D213" s="18">
        <f t="shared" si="12"/>
        <v>21.776278779632342</v>
      </c>
      <c r="E213" s="18">
        <f t="shared" si="13"/>
        <v>35.631253260764609</v>
      </c>
    </row>
    <row r="214" spans="2:5" x14ac:dyDescent="0.3">
      <c r="B214" s="457">
        <v>180</v>
      </c>
      <c r="C214" s="18">
        <f t="shared" si="11"/>
        <v>3</v>
      </c>
      <c r="D214" s="18">
        <f t="shared" si="12"/>
        <v>21.777703514737468</v>
      </c>
      <c r="E214" s="18">
        <f t="shared" si="13"/>
        <v>35.643790929689715</v>
      </c>
    </row>
    <row r="215" spans="2:5" x14ac:dyDescent="0.3">
      <c r="B215" s="457">
        <v>181</v>
      </c>
      <c r="C215" s="18">
        <f t="shared" si="11"/>
        <v>3.0166666666666666</v>
      </c>
      <c r="D215" s="18">
        <f t="shared" si="12"/>
        <v>21.779103683234407</v>
      </c>
      <c r="E215" s="18">
        <f t="shared" si="13"/>
        <v>35.656112412462782</v>
      </c>
    </row>
    <row r="216" spans="2:5" x14ac:dyDescent="0.3">
      <c r="B216" s="457">
        <v>182</v>
      </c>
      <c r="C216" s="18">
        <f t="shared" si="11"/>
        <v>3.0333333333333332</v>
      </c>
      <c r="D216" s="18">
        <f t="shared" si="12"/>
        <v>21.780479708723476</v>
      </c>
      <c r="E216" s="18">
        <f t="shared" si="13"/>
        <v>35.668221436766579</v>
      </c>
    </row>
    <row r="217" spans="2:5" x14ac:dyDescent="0.3">
      <c r="B217" s="457">
        <v>183</v>
      </c>
      <c r="C217" s="18">
        <f t="shared" si="11"/>
        <v>3.05</v>
      </c>
      <c r="D217" s="18">
        <f t="shared" si="12"/>
        <v>21.781832007500874</v>
      </c>
      <c r="E217" s="18">
        <f t="shared" si="13"/>
        <v>35.680121666007686</v>
      </c>
    </row>
    <row r="218" spans="2:5" x14ac:dyDescent="0.3">
      <c r="B218" s="457">
        <v>184</v>
      </c>
      <c r="C218" s="18">
        <f t="shared" si="11"/>
        <v>3.0666666666666669</v>
      </c>
      <c r="D218" s="18">
        <f t="shared" si="12"/>
        <v>21.783160988684639</v>
      </c>
      <c r="E218" s="18">
        <f t="shared" si="13"/>
        <v>35.69181670042483</v>
      </c>
    </row>
    <row r="219" spans="2:5" x14ac:dyDescent="0.3">
      <c r="B219" s="457">
        <v>185</v>
      </c>
      <c r="C219" s="18">
        <f t="shared" si="11"/>
        <v>3.0833333333333335</v>
      </c>
      <c r="D219" s="18">
        <f t="shared" si="12"/>
        <v>21.784467054338418</v>
      </c>
      <c r="E219" s="18">
        <f t="shared" si="13"/>
        <v>35.703310078178077</v>
      </c>
    </row>
    <row r="220" spans="2:5" x14ac:dyDescent="0.3">
      <c r="B220" s="457">
        <v>186</v>
      </c>
      <c r="C220" s="18">
        <f t="shared" si="11"/>
        <v>3.1</v>
      </c>
      <c r="D220" s="18">
        <f t="shared" si="12"/>
        <v>21.785750599593094</v>
      </c>
      <c r="E220" s="18">
        <f t="shared" si="13"/>
        <v>35.714605276419221</v>
      </c>
    </row>
    <row r="221" spans="2:5" x14ac:dyDescent="0.3">
      <c r="B221" s="457">
        <v>187</v>
      </c>
      <c r="C221" s="18">
        <f t="shared" si="11"/>
        <v>3.1166666666666667</v>
      </c>
      <c r="D221" s="18">
        <f t="shared" si="12"/>
        <v>21.78701201276634</v>
      </c>
      <c r="E221" s="18">
        <f t="shared" si="13"/>
        <v>35.725705712343803</v>
      </c>
    </row>
    <row r="222" spans="2:5" x14ac:dyDescent="0.3">
      <c r="B222" s="457">
        <v>188</v>
      </c>
      <c r="C222" s="18">
        <f t="shared" si="11"/>
        <v>3.1333333333333333</v>
      </c>
      <c r="D222" s="18">
        <f t="shared" si="12"/>
        <v>21.788251675480097</v>
      </c>
      <c r="E222" s="18">
        <f t="shared" si="13"/>
        <v>35.736614744224866</v>
      </c>
    </row>
    <row r="223" spans="2:5" x14ac:dyDescent="0.3">
      <c r="B223" s="457">
        <v>189</v>
      </c>
      <c r="C223" s="18">
        <f t="shared" si="11"/>
        <v>3.15</v>
      </c>
      <c r="D223" s="18">
        <f t="shared" si="12"/>
        <v>21.789469962776025</v>
      </c>
      <c r="E223" s="18">
        <f t="shared" si="13"/>
        <v>35.747335672429017</v>
      </c>
    </row>
    <row r="224" spans="2:5" x14ac:dyDescent="0.3">
      <c r="B224" s="457">
        <v>190</v>
      </c>
      <c r="C224" s="18">
        <f t="shared" si="11"/>
        <v>3.1666666666666665</v>
      </c>
      <c r="D224" s="18">
        <f t="shared" si="12"/>
        <v>21.79066724322896</v>
      </c>
      <c r="E224" s="18">
        <f t="shared" si="13"/>
        <v>35.757871740414842</v>
      </c>
    </row>
    <row r="225" spans="2:5" x14ac:dyDescent="0.3">
      <c r="B225" s="457">
        <v>191</v>
      </c>
      <c r="C225" s="18">
        <f t="shared" si="11"/>
        <v>3.1833333333333331</v>
      </c>
      <c r="D225" s="18">
        <f t="shared" si="12"/>
        <v>21.791843879058433</v>
      </c>
      <c r="E225" s="18">
        <f t="shared" si="13"/>
        <v>35.768226135714222</v>
      </c>
    </row>
    <row r="226" spans="2:5" x14ac:dyDescent="0.3">
      <c r="B226" s="457">
        <v>192</v>
      </c>
      <c r="C226" s="18">
        <f t="shared" si="11"/>
        <v>3.2</v>
      </c>
      <c r="D226" s="18">
        <f t="shared" si="12"/>
        <v>21.793000226238252</v>
      </c>
      <c r="E226" s="18">
        <f t="shared" si="13"/>
        <v>35.778401990896633</v>
      </c>
    </row>
    <row r="227" spans="2:5" x14ac:dyDescent="0.3">
      <c r="B227" s="457">
        <v>193</v>
      </c>
      <c r="C227" s="18">
        <f t="shared" si="11"/>
        <v>3.2166666666666668</v>
      </c>
      <c r="D227" s="18">
        <f t="shared" si="12"/>
        <v>21.79413663460419</v>
      </c>
      <c r="E227" s="18">
        <f t="shared" si="13"/>
        <v>35.788402384516871</v>
      </c>
    </row>
    <row r="228" spans="2:5" x14ac:dyDescent="0.3">
      <c r="B228" s="457">
        <v>194</v>
      </c>
      <c r="C228" s="18">
        <f t="shared" ref="C228:C291" si="14">B228/60</f>
        <v>3.2333333333333334</v>
      </c>
      <c r="D228" s="18">
        <f t="shared" ref="D228:D291" si="15">$I$32+$G$27/$A$32/$D$32*(1-EXP(-B228/($G$32*$H$32/$A$32/$D$32)))</f>
        <v>21.795253447959823</v>
      </c>
      <c r="E228" s="18">
        <f t="shared" ref="E228:E291" si="16">$I$32+$G$27/$A$32/$E$32*(1-EXP(-B228/($G$32*$H$32/$A$32/$D$32)))</f>
        <v>35.798230342046431</v>
      </c>
    </row>
    <row r="229" spans="2:5" x14ac:dyDescent="0.3">
      <c r="B229" s="457">
        <v>195</v>
      </c>
      <c r="C229" s="18">
        <f t="shared" si="14"/>
        <v>3.25</v>
      </c>
      <c r="D229" s="18">
        <f t="shared" si="15"/>
        <v>21.796351004180547</v>
      </c>
      <c r="E229" s="18">
        <f t="shared" si="16"/>
        <v>35.807888836788827</v>
      </c>
    </row>
    <row r="230" spans="2:5" x14ac:dyDescent="0.3">
      <c r="B230" s="457">
        <v>196</v>
      </c>
      <c r="C230" s="18">
        <f t="shared" si="14"/>
        <v>3.2666666666666666</v>
      </c>
      <c r="D230" s="18">
        <f t="shared" si="15"/>
        <v>21.797429635315805</v>
      </c>
      <c r="E230" s="18">
        <f t="shared" si="16"/>
        <v>35.817380790779083</v>
      </c>
    </row>
    <row r="231" spans="2:5" x14ac:dyDescent="0.3">
      <c r="B231" s="457">
        <v>197</v>
      </c>
      <c r="C231" s="18">
        <f t="shared" si="14"/>
        <v>3.2833333333333332</v>
      </c>
      <c r="D231" s="18">
        <f t="shared" si="15"/>
        <v>21.79848966768952</v>
      </c>
      <c r="E231" s="18">
        <f t="shared" si="16"/>
        <v>35.826709075667793</v>
      </c>
    </row>
    <row r="232" spans="2:5" x14ac:dyDescent="0.3">
      <c r="B232" s="457">
        <v>198</v>
      </c>
      <c r="C232" s="18">
        <f t="shared" si="14"/>
        <v>3.3</v>
      </c>
      <c r="D232" s="18">
        <f t="shared" si="15"/>
        <v>21.79953142199885</v>
      </c>
      <c r="E232" s="18">
        <f t="shared" si="16"/>
        <v>35.835876513589866</v>
      </c>
    </row>
    <row r="233" spans="2:5" x14ac:dyDescent="0.3">
      <c r="B233" s="457">
        <v>199</v>
      </c>
      <c r="C233" s="18">
        <f t="shared" si="14"/>
        <v>3.3166666666666669</v>
      </c>
      <c r="D233" s="18">
        <f t="shared" si="15"/>
        <v>21.80055521341118</v>
      </c>
      <c r="E233" s="18">
        <f t="shared" si="16"/>
        <v>35.844885878018367</v>
      </c>
    </row>
    <row r="234" spans="2:5" x14ac:dyDescent="0.3">
      <c r="B234" s="457">
        <v>200</v>
      </c>
      <c r="C234" s="18">
        <f t="shared" si="14"/>
        <v>3.3333333333333335</v>
      </c>
      <c r="D234" s="18">
        <f t="shared" si="15"/>
        <v>21.80156135165949</v>
      </c>
      <c r="E234" s="18">
        <f t="shared" si="16"/>
        <v>35.853739894603521</v>
      </c>
    </row>
    <row r="235" spans="2:5" x14ac:dyDescent="0.3">
      <c r="B235" s="457">
        <v>201</v>
      </c>
      <c r="C235" s="18">
        <f t="shared" si="14"/>
        <v>3.35</v>
      </c>
      <c r="D235" s="18">
        <f t="shared" si="15"/>
        <v>21.802550141136063</v>
      </c>
      <c r="E235" s="18">
        <f t="shared" si="16"/>
        <v>35.862441241997367</v>
      </c>
    </row>
    <row r="236" spans="2:5" x14ac:dyDescent="0.3">
      <c r="B236" s="457">
        <v>202</v>
      </c>
      <c r="C236" s="18">
        <f t="shared" si="14"/>
        <v>3.3666666666666667</v>
      </c>
      <c r="D236" s="18">
        <f t="shared" si="15"/>
        <v>21.803521880984562</v>
      </c>
      <c r="E236" s="18">
        <f t="shared" si="16"/>
        <v>35.870992552664148</v>
      </c>
    </row>
    <row r="237" spans="2:5" x14ac:dyDescent="0.3">
      <c r="B237" s="457">
        <v>203</v>
      </c>
      <c r="C237" s="18">
        <f t="shared" si="14"/>
        <v>3.3833333333333333</v>
      </c>
      <c r="D237" s="18">
        <f t="shared" si="15"/>
        <v>21.804476865190534</v>
      </c>
      <c r="E237" s="18">
        <f t="shared" si="16"/>
        <v>35.879396413676687</v>
      </c>
    </row>
    <row r="238" spans="2:5" x14ac:dyDescent="0.3">
      <c r="B238" s="457">
        <v>204</v>
      </c>
      <c r="C238" s="18">
        <f t="shared" si="14"/>
        <v>3.4</v>
      </c>
      <c r="D238" s="18">
        <f t="shared" si="15"/>
        <v>21.805415382670354</v>
      </c>
      <c r="E238" s="18">
        <f t="shared" si="16"/>
        <v>35.887655367499114</v>
      </c>
    </row>
    <row r="239" spans="2:5" x14ac:dyDescent="0.3">
      <c r="B239" s="457">
        <v>205</v>
      </c>
      <c r="C239" s="18">
        <f t="shared" si="14"/>
        <v>3.4166666666666665</v>
      </c>
      <c r="D239" s="18">
        <f t="shared" si="15"/>
        <v>21.806337717358637</v>
      </c>
      <c r="E239" s="18">
        <f t="shared" si="16"/>
        <v>35.895771912756011</v>
      </c>
    </row>
    <row r="240" spans="2:5" x14ac:dyDescent="0.3">
      <c r="B240" s="457">
        <v>206</v>
      </c>
      <c r="C240" s="18">
        <f t="shared" si="14"/>
        <v>3.4333333333333331</v>
      </c>
      <c r="D240" s="18">
        <f t="shared" si="15"/>
        <v>21.807244148294131</v>
      </c>
      <c r="E240" s="18">
        <f t="shared" si="16"/>
        <v>35.903748504988357</v>
      </c>
    </row>
    <row r="241" spans="2:5" x14ac:dyDescent="0.3">
      <c r="B241" s="457">
        <v>207</v>
      </c>
      <c r="C241" s="18">
        <f t="shared" si="14"/>
        <v>3.45</v>
      </c>
      <c r="D241" s="18">
        <f t="shared" si="15"/>
        <v>21.808134949704137</v>
      </c>
      <c r="E241" s="18">
        <f t="shared" si="16"/>
        <v>35.911587557396402</v>
      </c>
    </row>
    <row r="242" spans="2:5" x14ac:dyDescent="0.3">
      <c r="B242" s="457">
        <v>208</v>
      </c>
      <c r="C242" s="18">
        <f t="shared" si="14"/>
        <v>3.4666666666666668</v>
      </c>
      <c r="D242" s="18">
        <f t="shared" si="15"/>
        <v>21.809010391087472</v>
      </c>
      <c r="E242" s="18">
        <f t="shared" si="16"/>
        <v>35.919291441569762</v>
      </c>
    </row>
    <row r="243" spans="2:5" x14ac:dyDescent="0.3">
      <c r="B243" s="457">
        <v>209</v>
      </c>
      <c r="C243" s="18">
        <f t="shared" si="14"/>
        <v>3.4833333333333334</v>
      </c>
      <c r="D243" s="18">
        <f t="shared" si="15"/>
        <v>21.809870737296009</v>
      </c>
      <c r="E243" s="18">
        <f t="shared" si="16"/>
        <v>35.92686248820489</v>
      </c>
    </row>
    <row r="244" spans="2:5" x14ac:dyDescent="0.3">
      <c r="B244" s="457">
        <v>210</v>
      </c>
      <c r="C244" s="18">
        <f t="shared" si="14"/>
        <v>3.5</v>
      </c>
      <c r="D244" s="18">
        <f t="shared" si="15"/>
        <v>21.810716248614796</v>
      </c>
      <c r="E244" s="18">
        <f t="shared" si="16"/>
        <v>35.934302987810199</v>
      </c>
    </row>
    <row r="245" spans="2:5" x14ac:dyDescent="0.3">
      <c r="B245" s="457">
        <v>211</v>
      </c>
      <c r="C245" s="18">
        <f t="shared" si="14"/>
        <v>3.5166666666666666</v>
      </c>
      <c r="D245" s="18">
        <f t="shared" si="15"/>
        <v>21.811547180840801</v>
      </c>
      <c r="E245" s="18">
        <f t="shared" si="16"/>
        <v>35.941615191399045</v>
      </c>
    </row>
    <row r="246" spans="2:5" x14ac:dyDescent="0.3">
      <c r="B246" s="457">
        <v>212</v>
      </c>
      <c r="C246" s="18">
        <f t="shared" si="14"/>
        <v>3.5333333333333332</v>
      </c>
      <c r="D246" s="18">
        <f t="shared" si="15"/>
        <v>21.812363785360308</v>
      </c>
      <c r="E246" s="18">
        <f t="shared" si="16"/>
        <v>35.948801311170698</v>
      </c>
    </row>
    <row r="247" spans="2:5" x14ac:dyDescent="0.3">
      <c r="B247" s="457">
        <v>213</v>
      </c>
      <c r="C247" s="18">
        <f t="shared" si="14"/>
        <v>3.55</v>
      </c>
      <c r="D247" s="18">
        <f t="shared" si="15"/>
        <v>21.813166309224957</v>
      </c>
      <c r="E247" s="18">
        <f t="shared" si="16"/>
        <v>35.955863521179637</v>
      </c>
    </row>
    <row r="248" spans="2:5" x14ac:dyDescent="0.3">
      <c r="B248" s="457">
        <v>214</v>
      </c>
      <c r="C248" s="18">
        <f t="shared" si="14"/>
        <v>3.5666666666666669</v>
      </c>
      <c r="D248" s="18">
        <f t="shared" si="15"/>
        <v>21.813954995226506</v>
      </c>
      <c r="E248" s="18">
        <f t="shared" si="16"/>
        <v>35.962803957993266</v>
      </c>
    </row>
    <row r="249" spans="2:5" x14ac:dyDescent="0.3">
      <c r="B249" s="457">
        <v>215</v>
      </c>
      <c r="C249" s="18">
        <f t="shared" si="14"/>
        <v>3.5833333333333335</v>
      </c>
      <c r="D249" s="18">
        <f t="shared" si="15"/>
        <v>21.814730081970264</v>
      </c>
      <c r="E249" s="18">
        <f t="shared" si="16"/>
        <v>35.96962472133832</v>
      </c>
    </row>
    <row r="250" spans="2:5" x14ac:dyDescent="0.3">
      <c r="B250" s="457">
        <v>216</v>
      </c>
      <c r="C250" s="18">
        <f t="shared" si="14"/>
        <v>3.6</v>
      </c>
      <c r="D250" s="18">
        <f t="shared" si="15"/>
        <v>21.815491803947282</v>
      </c>
      <c r="E250" s="18">
        <f t="shared" si="16"/>
        <v>35.976327874736072</v>
      </c>
    </row>
    <row r="251" spans="2:5" x14ac:dyDescent="0.3">
      <c r="B251" s="457">
        <v>217</v>
      </c>
      <c r="C251" s="18">
        <f t="shared" si="14"/>
        <v>3.6166666666666667</v>
      </c>
      <c r="D251" s="18">
        <f t="shared" si="15"/>
        <v>21.816240391605302</v>
      </c>
      <c r="E251" s="18">
        <f t="shared" si="16"/>
        <v>35.982915446126654</v>
      </c>
    </row>
    <row r="252" spans="2:5" x14ac:dyDescent="0.3">
      <c r="B252" s="457">
        <v>218</v>
      </c>
      <c r="C252" s="18">
        <f t="shared" si="14"/>
        <v>3.6333333333333333</v>
      </c>
      <c r="D252" s="18">
        <f t="shared" si="15"/>
        <v>21.816976071418473</v>
      </c>
      <c r="E252" s="18">
        <f t="shared" si="16"/>
        <v>35.989389428482568</v>
      </c>
    </row>
    <row r="253" spans="2:5" x14ac:dyDescent="0.3">
      <c r="B253" s="457">
        <v>219</v>
      </c>
      <c r="C253" s="18">
        <f t="shared" si="14"/>
        <v>3.65</v>
      </c>
      <c r="D253" s="18">
        <f t="shared" si="15"/>
        <v>21.817699065955868</v>
      </c>
      <c r="E253" s="18">
        <f t="shared" si="16"/>
        <v>35.995751780411631</v>
      </c>
    </row>
    <row r="254" spans="2:5" x14ac:dyDescent="0.3">
      <c r="B254" s="457">
        <v>220</v>
      </c>
      <c r="C254" s="18">
        <f t="shared" si="14"/>
        <v>3.6666666666666665</v>
      </c>
      <c r="D254" s="18">
        <f t="shared" si="15"/>
        <v>21.818409593948807</v>
      </c>
      <c r="E254" s="18">
        <f t="shared" si="16"/>
        <v>36.002004426749508</v>
      </c>
    </row>
    <row r="255" spans="2:5" x14ac:dyDescent="0.3">
      <c r="B255" s="457">
        <v>221</v>
      </c>
      <c r="C255" s="18">
        <f t="shared" si="14"/>
        <v>3.6833333333333331</v>
      </c>
      <c r="D255" s="18">
        <f t="shared" si="15"/>
        <v>21.819107870357055</v>
      </c>
      <c r="E255" s="18">
        <f t="shared" si="16"/>
        <v>36.008149259142087</v>
      </c>
    </row>
    <row r="256" spans="2:5" x14ac:dyDescent="0.3">
      <c r="B256" s="457">
        <v>222</v>
      </c>
      <c r="C256" s="18">
        <f t="shared" si="14"/>
        <v>3.7</v>
      </c>
      <c r="D256" s="18">
        <f t="shared" si="15"/>
        <v>21.819794106433829</v>
      </c>
      <c r="E256" s="18">
        <f t="shared" si="16"/>
        <v>36.01418813661769</v>
      </c>
    </row>
    <row r="257" spans="2:5" x14ac:dyDescent="0.3">
      <c r="B257" s="457">
        <v>223</v>
      </c>
      <c r="C257" s="18">
        <f t="shared" si="14"/>
        <v>3.7166666666666668</v>
      </c>
      <c r="D257" s="18">
        <f t="shared" si="15"/>
        <v>21.820468509789727</v>
      </c>
      <c r="E257" s="18">
        <f t="shared" si="16"/>
        <v>36.020122886149593</v>
      </c>
    </row>
    <row r="258" spans="2:5" x14ac:dyDescent="0.3">
      <c r="B258" s="457">
        <v>224</v>
      </c>
      <c r="C258" s="18">
        <f t="shared" si="14"/>
        <v>3.7333333333333334</v>
      </c>
      <c r="D258" s="18">
        <f t="shared" si="15"/>
        <v>21.821131284455529</v>
      </c>
      <c r="E258" s="18">
        <f t="shared" si="16"/>
        <v>36.025955303208661</v>
      </c>
    </row>
    <row r="259" spans="2:5" x14ac:dyDescent="0.3">
      <c r="B259" s="457">
        <v>225</v>
      </c>
      <c r="C259" s="18">
        <f t="shared" si="14"/>
        <v>3.75</v>
      </c>
      <c r="D259" s="18">
        <f t="shared" si="15"/>
        <v>21.821782630943932</v>
      </c>
      <c r="E259" s="18">
        <f t="shared" si="16"/>
        <v>36.031687152306603</v>
      </c>
    </row>
    <row r="260" spans="2:5" x14ac:dyDescent="0.3">
      <c r="B260" s="457">
        <v>226</v>
      </c>
      <c r="C260" s="18">
        <f t="shared" si="14"/>
        <v>3.7666666666666666</v>
      </c>
      <c r="D260" s="18">
        <f t="shared" si="15"/>
        <v>21.822422746310203</v>
      </c>
      <c r="E260" s="18">
        <f t="shared" si="16"/>
        <v>36.037320167529771</v>
      </c>
    </row>
    <row r="261" spans="2:5" x14ac:dyDescent="0.3">
      <c r="B261" s="457">
        <v>227</v>
      </c>
      <c r="C261" s="18">
        <f t="shared" si="14"/>
        <v>3.7833333333333332</v>
      </c>
      <c r="D261" s="18">
        <f t="shared" si="15"/>
        <v>21.823051824211795</v>
      </c>
      <c r="E261" s="18">
        <f t="shared" si="16"/>
        <v>36.042856053063787</v>
      </c>
    </row>
    <row r="262" spans="2:5" x14ac:dyDescent="0.3">
      <c r="B262" s="457">
        <v>228</v>
      </c>
      <c r="C262" s="18">
        <f t="shared" si="14"/>
        <v>3.8</v>
      </c>
      <c r="D262" s="18">
        <f t="shared" si="15"/>
        <v>21.823670054966943</v>
      </c>
      <c r="E262" s="18">
        <f t="shared" si="16"/>
        <v>36.048296483709102</v>
      </c>
    </row>
    <row r="263" spans="2:5" x14ac:dyDescent="0.3">
      <c r="B263" s="457">
        <v>229</v>
      </c>
      <c r="C263" s="18">
        <f t="shared" si="14"/>
        <v>3.8166666666666669</v>
      </c>
      <c r="D263" s="18">
        <f t="shared" si="15"/>
        <v>21.82427762561224</v>
      </c>
      <c r="E263" s="18">
        <f t="shared" si="16"/>
        <v>36.053643105387721</v>
      </c>
    </row>
    <row r="264" spans="2:5" x14ac:dyDescent="0.3">
      <c r="B264" s="457">
        <v>230</v>
      </c>
      <c r="C264" s="18">
        <f t="shared" si="14"/>
        <v>3.8333333333333335</v>
      </c>
      <c r="D264" s="18">
        <f t="shared" si="15"/>
        <v>21.824874719959219</v>
      </c>
      <c r="E264" s="18">
        <f t="shared" si="16"/>
        <v>36.058897535641137</v>
      </c>
    </row>
    <row r="265" spans="2:5" x14ac:dyDescent="0.3">
      <c r="B265" s="457">
        <v>231</v>
      </c>
      <c r="C265" s="18">
        <f t="shared" si="14"/>
        <v>3.85</v>
      </c>
      <c r="D265" s="18">
        <f t="shared" si="15"/>
        <v>21.825461518649959</v>
      </c>
      <c r="E265" s="18">
        <f t="shared" si="16"/>
        <v>36.064061364119645</v>
      </c>
    </row>
    <row r="266" spans="2:5" x14ac:dyDescent="0.3">
      <c r="B266" s="457">
        <v>232</v>
      </c>
      <c r="C266" s="18">
        <f t="shared" si="14"/>
        <v>3.8666666666666667</v>
      </c>
      <c r="D266" s="18">
        <f t="shared" si="15"/>
        <v>21.826038199211744</v>
      </c>
      <c r="E266" s="18">
        <f t="shared" si="16"/>
        <v>36.069136153063361</v>
      </c>
    </row>
    <row r="267" spans="2:5" x14ac:dyDescent="0.3">
      <c r="B267" s="457">
        <v>233</v>
      </c>
      <c r="C267" s="18">
        <f t="shared" si="14"/>
        <v>3.8833333333333333</v>
      </c>
      <c r="D267" s="18">
        <f t="shared" si="15"/>
        <v>21.826604936110769</v>
      </c>
      <c r="E267" s="18">
        <f t="shared" si="16"/>
        <v>36.074123437774773</v>
      </c>
    </row>
    <row r="268" spans="2:5" x14ac:dyDescent="0.3">
      <c r="B268" s="457">
        <v>234</v>
      </c>
      <c r="C268" s="18">
        <f t="shared" si="14"/>
        <v>3.9</v>
      </c>
      <c r="D268" s="18">
        <f t="shared" si="15"/>
        <v>21.827161900804917</v>
      </c>
      <c r="E268" s="18">
        <f t="shared" si="16"/>
        <v>36.079024727083272</v>
      </c>
    </row>
    <row r="269" spans="2:5" x14ac:dyDescent="0.3">
      <c r="B269" s="457">
        <v>235</v>
      </c>
      <c r="C269" s="18">
        <f t="shared" si="14"/>
        <v>3.9166666666666665</v>
      </c>
      <c r="D269" s="18">
        <f t="shared" si="15"/>
        <v>21.827709261795636</v>
      </c>
      <c r="E269" s="18">
        <f t="shared" si="16"/>
        <v>36.083841503801594</v>
      </c>
    </row>
    <row r="270" spans="2:5" x14ac:dyDescent="0.3">
      <c r="B270" s="457">
        <v>236</v>
      </c>
      <c r="C270" s="18">
        <f t="shared" si="14"/>
        <v>3.9333333333333331</v>
      </c>
      <c r="D270" s="18">
        <f t="shared" si="15"/>
        <v>21.828247184678915</v>
      </c>
      <c r="E270" s="18">
        <f t="shared" si="16"/>
        <v>36.088575225174445</v>
      </c>
    </row>
    <row r="271" spans="2:5" x14ac:dyDescent="0.3">
      <c r="B271" s="457">
        <v>237</v>
      </c>
      <c r="C271" s="18">
        <f t="shared" si="14"/>
        <v>3.95</v>
      </c>
      <c r="D271" s="18">
        <f t="shared" si="15"/>
        <v>21.828775832195383</v>
      </c>
      <c r="E271" s="18">
        <f t="shared" si="16"/>
        <v>36.093227323319368</v>
      </c>
    </row>
    <row r="272" spans="2:5" x14ac:dyDescent="0.3">
      <c r="B272" s="457">
        <v>238</v>
      </c>
      <c r="C272" s="18">
        <f t="shared" si="14"/>
        <v>3.9666666666666668</v>
      </c>
      <c r="D272" s="18">
        <f t="shared" si="15"/>
        <v>21.829295364279545</v>
      </c>
      <c r="E272" s="18">
        <f t="shared" si="16"/>
        <v>36.097799205659989</v>
      </c>
    </row>
    <row r="273" spans="2:5" x14ac:dyDescent="0.3">
      <c r="B273" s="457">
        <v>239</v>
      </c>
      <c r="C273" s="18">
        <f t="shared" si="14"/>
        <v>3.9833333333333334</v>
      </c>
      <c r="D273" s="18">
        <f t="shared" si="15"/>
        <v>21.829805938108162</v>
      </c>
      <c r="E273" s="18">
        <f t="shared" si="16"/>
        <v>36.102292255351841</v>
      </c>
    </row>
    <row r="274" spans="2:5" x14ac:dyDescent="0.3">
      <c r="B274" s="457">
        <v>240</v>
      </c>
      <c r="C274" s="18">
        <f t="shared" si="14"/>
        <v>4</v>
      </c>
      <c r="D274" s="18">
        <f t="shared" si="15"/>
        <v>21.830307708147817</v>
      </c>
      <c r="E274" s="18">
        <f t="shared" si="16"/>
        <v>36.106707831700788</v>
      </c>
    </row>
    <row r="275" spans="2:5" x14ac:dyDescent="0.3">
      <c r="B275" s="457">
        <v>241</v>
      </c>
      <c r="C275" s="18">
        <f t="shared" si="14"/>
        <v>4.0166666666666666</v>
      </c>
      <c r="D275" s="18">
        <f t="shared" si="15"/>
        <v>21.830800826201624</v>
      </c>
      <c r="E275" s="18">
        <f t="shared" si="16"/>
        <v>36.111047270574304</v>
      </c>
    </row>
    <row r="276" spans="2:5" x14ac:dyDescent="0.3">
      <c r="B276" s="457">
        <v>242</v>
      </c>
      <c r="C276" s="18">
        <f t="shared" si="14"/>
        <v>4.0333333333333332</v>
      </c>
      <c r="D276" s="18">
        <f t="shared" si="15"/>
        <v>21.831285441455176</v>
      </c>
      <c r="E276" s="18">
        <f t="shared" si="16"/>
        <v>36.11531188480555</v>
      </c>
    </row>
    <row r="277" spans="2:5" x14ac:dyDescent="0.3">
      <c r="B277" s="457">
        <v>243</v>
      </c>
      <c r="C277" s="18">
        <f t="shared" si="14"/>
        <v>4.05</v>
      </c>
      <c r="D277" s="18">
        <f t="shared" si="15"/>
        <v>21.831761700521664</v>
      </c>
      <c r="E277" s="18">
        <f t="shared" si="16"/>
        <v>36.119502964590637</v>
      </c>
    </row>
    <row r="278" spans="2:5" x14ac:dyDescent="0.3">
      <c r="B278" s="457">
        <v>244</v>
      </c>
      <c r="C278" s="18">
        <f t="shared" si="14"/>
        <v>4.0666666666666664</v>
      </c>
      <c r="D278" s="18">
        <f t="shared" si="15"/>
        <v>21.832229747486238</v>
      </c>
      <c r="E278" s="18">
        <f t="shared" si="16"/>
        <v>36.123621777878903</v>
      </c>
    </row>
    <row r="279" spans="2:5" x14ac:dyDescent="0.3">
      <c r="B279" s="457">
        <v>245</v>
      </c>
      <c r="C279" s="18">
        <f t="shared" si="14"/>
        <v>4.083333333333333</v>
      </c>
      <c r="D279" s="18">
        <f t="shared" si="15"/>
        <v>21.832689723949603</v>
      </c>
      <c r="E279" s="18">
        <f t="shared" si="16"/>
        <v>36.12766957075651</v>
      </c>
    </row>
    <row r="280" spans="2:5" x14ac:dyDescent="0.3">
      <c r="B280" s="457">
        <v>246</v>
      </c>
      <c r="C280" s="18">
        <f t="shared" si="14"/>
        <v>4.0999999999999996</v>
      </c>
      <c r="D280" s="18">
        <f t="shared" si="15"/>
        <v>21.833141769070846</v>
      </c>
      <c r="E280" s="18">
        <f t="shared" si="16"/>
        <v>36.13164756782345</v>
      </c>
    </row>
    <row r="281" spans="2:5" x14ac:dyDescent="0.3">
      <c r="B281" s="457">
        <v>247</v>
      </c>
      <c r="C281" s="18">
        <f t="shared" si="14"/>
        <v>4.1166666666666663</v>
      </c>
      <c r="D281" s="18">
        <f t="shared" si="15"/>
        <v>21.833586019609548</v>
      </c>
      <c r="E281" s="18">
        <f t="shared" si="16"/>
        <v>36.135556972564025</v>
      </c>
    </row>
    <row r="282" spans="2:5" x14ac:dyDescent="0.3">
      <c r="B282" s="457">
        <v>248</v>
      </c>
      <c r="C282" s="18">
        <f t="shared" si="14"/>
        <v>4.1333333333333337</v>
      </c>
      <c r="D282" s="18">
        <f t="shared" si="15"/>
        <v>21.834022609967153</v>
      </c>
      <c r="E282" s="18">
        <f t="shared" si="16"/>
        <v>36.139398967710953</v>
      </c>
    </row>
    <row r="283" spans="2:5" x14ac:dyDescent="0.3">
      <c r="B283" s="457">
        <v>249</v>
      </c>
      <c r="C283" s="18">
        <f t="shared" si="14"/>
        <v>4.1500000000000004</v>
      </c>
      <c r="D283" s="18">
        <f t="shared" si="15"/>
        <v>21.83445167222763</v>
      </c>
      <c r="E283" s="18">
        <f t="shared" si="16"/>
        <v>36.143174715603152</v>
      </c>
    </row>
    <row r="284" spans="2:5" x14ac:dyDescent="0.3">
      <c r="B284" s="457">
        <v>250</v>
      </c>
      <c r="C284" s="18">
        <f t="shared" si="14"/>
        <v>4.166666666666667</v>
      </c>
      <c r="D284" s="18">
        <f t="shared" si="15"/>
        <v>21.834873336197433</v>
      </c>
      <c r="E284" s="18">
        <f t="shared" si="16"/>
        <v>36.146885358537418</v>
      </c>
    </row>
    <row r="285" spans="2:5" x14ac:dyDescent="0.3">
      <c r="B285" s="457">
        <v>251</v>
      </c>
      <c r="C285" s="18">
        <f t="shared" si="14"/>
        <v>4.1833333333333336</v>
      </c>
      <c r="D285" s="18">
        <f t="shared" si="15"/>
        <v>21.835287729444776</v>
      </c>
      <c r="E285" s="18">
        <f t="shared" si="16"/>
        <v>36.150532019114024</v>
      </c>
    </row>
    <row r="286" spans="2:5" x14ac:dyDescent="0.3">
      <c r="B286" s="457">
        <v>252</v>
      </c>
      <c r="C286" s="18">
        <f t="shared" si="14"/>
        <v>4.2</v>
      </c>
      <c r="D286" s="18">
        <f t="shared" si="15"/>
        <v>21.835694977338214</v>
      </c>
      <c r="E286" s="18">
        <f t="shared" si="16"/>
        <v>36.154115800576285</v>
      </c>
    </row>
    <row r="287" spans="2:5" x14ac:dyDescent="0.3">
      <c r="B287" s="457">
        <v>253</v>
      </c>
      <c r="C287" s="18">
        <f t="shared" si="14"/>
        <v>4.2166666666666668</v>
      </c>
      <c r="D287" s="18">
        <f t="shared" si="15"/>
        <v>21.836095203084589</v>
      </c>
      <c r="E287" s="18">
        <f t="shared" si="16"/>
        <v>36.157637787144402</v>
      </c>
    </row>
    <row r="288" spans="2:5" x14ac:dyDescent="0.3">
      <c r="B288" s="457">
        <v>254</v>
      </c>
      <c r="C288" s="18">
        <f t="shared" si="14"/>
        <v>4.2333333333333334</v>
      </c>
      <c r="D288" s="18">
        <f t="shared" si="15"/>
        <v>21.836488527766299</v>
      </c>
      <c r="E288" s="18">
        <f t="shared" si="16"/>
        <v>36.16109904434343</v>
      </c>
    </row>
    <row r="289" spans="2:5" x14ac:dyDescent="0.3">
      <c r="B289" s="457">
        <v>255</v>
      </c>
      <c r="C289" s="18">
        <f t="shared" si="14"/>
        <v>4.25</v>
      </c>
      <c r="D289" s="18">
        <f t="shared" si="15"/>
        <v>21.836875070377914</v>
      </c>
      <c r="E289" s="18">
        <f t="shared" si="16"/>
        <v>36.164500619325651</v>
      </c>
    </row>
    <row r="290" spans="2:5" x14ac:dyDescent="0.3">
      <c r="B290" s="457">
        <v>256</v>
      </c>
      <c r="C290" s="18">
        <f t="shared" si="14"/>
        <v>4.2666666666666666</v>
      </c>
      <c r="D290" s="18">
        <f t="shared" si="15"/>
        <v>21.837254947862199</v>
      </c>
      <c r="E290" s="18">
        <f t="shared" si="16"/>
        <v>36.167843541187366</v>
      </c>
    </row>
    <row r="291" spans="2:5" x14ac:dyDescent="0.3">
      <c r="B291" s="457">
        <v>257</v>
      </c>
      <c r="C291" s="18">
        <f t="shared" si="14"/>
        <v>4.2833333333333332</v>
      </c>
      <c r="D291" s="18">
        <f t="shared" si="15"/>
        <v>21.837628275145484</v>
      </c>
      <c r="E291" s="18">
        <f t="shared" si="16"/>
        <v>36.171128821280263</v>
      </c>
    </row>
    <row r="292" spans="2:5" x14ac:dyDescent="0.3">
      <c r="B292" s="457">
        <v>258</v>
      </c>
      <c r="C292" s="18">
        <f t="shared" ref="C292:C355" si="17">B292/60</f>
        <v>4.3</v>
      </c>
      <c r="D292" s="18">
        <f t="shared" ref="D292:D355" si="18">$I$32+$G$27/$A$32/$D$32*(1-EXP(-B292/($G$32*$H$32/$A$32/$D$32)))</f>
        <v>21.837995165172423</v>
      </c>
      <c r="E292" s="18">
        <f t="shared" ref="E292:E355" si="19">$I$32+$G$27/$A$32/$E$32*(1-EXP(-B292/($G$32*$H$32/$A$32/$D$32)))</f>
        <v>36.174357453517317</v>
      </c>
    </row>
    <row r="293" spans="2:5" x14ac:dyDescent="0.3">
      <c r="B293" s="457">
        <v>259</v>
      </c>
      <c r="C293" s="18">
        <f t="shared" si="17"/>
        <v>4.3166666666666664</v>
      </c>
      <c r="D293" s="18">
        <f t="shared" si="18"/>
        <v>21.838355728940179</v>
      </c>
      <c r="E293" s="18">
        <f t="shared" si="19"/>
        <v>36.177530414673598</v>
      </c>
    </row>
    <row r="294" spans="2:5" x14ac:dyDescent="0.3">
      <c r="B294" s="457">
        <v>260</v>
      </c>
      <c r="C294" s="18">
        <f t="shared" si="17"/>
        <v>4.333333333333333</v>
      </c>
      <c r="D294" s="18">
        <f t="shared" si="18"/>
        <v>21.838710075532006</v>
      </c>
      <c r="E294" s="18">
        <f t="shared" si="19"/>
        <v>36.180648664681641</v>
      </c>
    </row>
    <row r="295" spans="2:5" x14ac:dyDescent="0.3">
      <c r="B295" s="457">
        <v>261</v>
      </c>
      <c r="C295" s="18">
        <f t="shared" si="17"/>
        <v>4.3499999999999996</v>
      </c>
      <c r="D295" s="18">
        <f t="shared" si="18"/>
        <v>21.839058312150225</v>
      </c>
      <c r="E295" s="18">
        <f t="shared" si="19"/>
        <v>36.183713146921988</v>
      </c>
    </row>
    <row r="296" spans="2:5" x14ac:dyDescent="0.3">
      <c r="B296" s="457">
        <v>262</v>
      </c>
      <c r="C296" s="18">
        <f t="shared" si="17"/>
        <v>4.3666666666666663</v>
      </c>
      <c r="D296" s="18">
        <f t="shared" si="18"/>
        <v>21.839400544148692</v>
      </c>
      <c r="E296" s="18">
        <f t="shared" si="19"/>
        <v>36.186724788508499</v>
      </c>
    </row>
    <row r="297" spans="2:5" x14ac:dyDescent="0.3">
      <c r="B297" s="457">
        <v>263</v>
      </c>
      <c r="C297" s="18">
        <f t="shared" si="17"/>
        <v>4.3833333333333337</v>
      </c>
      <c r="D297" s="18">
        <f t="shared" si="18"/>
        <v>21.839736875064649</v>
      </c>
      <c r="E297" s="18">
        <f t="shared" si="19"/>
        <v>36.189684500568895</v>
      </c>
    </row>
    <row r="298" spans="2:5" x14ac:dyDescent="0.3">
      <c r="B298" s="457">
        <v>264</v>
      </c>
      <c r="C298" s="18">
        <f t="shared" si="17"/>
        <v>4.4000000000000004</v>
      </c>
      <c r="D298" s="18">
        <f t="shared" si="18"/>
        <v>21.840067406650043</v>
      </c>
      <c r="E298" s="18">
        <f t="shared" si="19"/>
        <v>36.192593178520376</v>
      </c>
    </row>
    <row r="299" spans="2:5" x14ac:dyDescent="0.3">
      <c r="B299" s="457">
        <v>265</v>
      </c>
      <c r="C299" s="18">
        <f t="shared" si="17"/>
        <v>4.416666666666667</v>
      </c>
      <c r="D299" s="18">
        <f t="shared" si="18"/>
        <v>21.840392238902332</v>
      </c>
      <c r="E299" s="18">
        <f t="shared" si="19"/>
        <v>36.19545170234052</v>
      </c>
    </row>
    <row r="300" spans="2:5" x14ac:dyDescent="0.3">
      <c r="B300" s="457">
        <v>266</v>
      </c>
      <c r="C300" s="18">
        <f t="shared" si="17"/>
        <v>4.4333333333333336</v>
      </c>
      <c r="D300" s="18">
        <f t="shared" si="18"/>
        <v>21.840711470094721</v>
      </c>
      <c r="E300" s="18">
        <f t="shared" si="19"/>
        <v>36.198260936833535</v>
      </c>
    </row>
    <row r="301" spans="2:5" x14ac:dyDescent="0.3">
      <c r="B301" s="457">
        <v>267</v>
      </c>
      <c r="C301" s="18">
        <f t="shared" si="17"/>
        <v>4.45</v>
      </c>
      <c r="D301" s="18">
        <f t="shared" si="18"/>
        <v>21.841025196805891</v>
      </c>
      <c r="E301" s="18">
        <f t="shared" si="19"/>
        <v>36.201021731891849</v>
      </c>
    </row>
    <row r="302" spans="2:5" x14ac:dyDescent="0.3">
      <c r="B302" s="457">
        <v>268</v>
      </c>
      <c r="C302" s="18">
        <f t="shared" si="17"/>
        <v>4.4666666666666668</v>
      </c>
      <c r="D302" s="18">
        <f t="shared" si="18"/>
        <v>21.841333513949234</v>
      </c>
      <c r="E302" s="18">
        <f t="shared" si="19"/>
        <v>36.203734922753256</v>
      </c>
    </row>
    <row r="303" spans="2:5" x14ac:dyDescent="0.3">
      <c r="B303" s="457">
        <v>269</v>
      </c>
      <c r="C303" s="18">
        <f t="shared" si="17"/>
        <v>4.4833333333333334</v>
      </c>
      <c r="D303" s="18">
        <f t="shared" si="18"/>
        <v>21.841636514801547</v>
      </c>
      <c r="E303" s="18">
        <f t="shared" si="19"/>
        <v>36.206401330253613</v>
      </c>
    </row>
    <row r="304" spans="2:5" x14ac:dyDescent="0.3">
      <c r="B304" s="457">
        <v>270</v>
      </c>
      <c r="C304" s="18">
        <f t="shared" si="17"/>
        <v>4.5</v>
      </c>
      <c r="D304" s="18">
        <f t="shared" si="18"/>
        <v>21.841934291031265</v>
      </c>
      <c r="E304" s="18">
        <f t="shared" si="19"/>
        <v>36.209021761075149</v>
      </c>
    </row>
    <row r="305" spans="2:5" x14ac:dyDescent="0.3">
      <c r="B305" s="457">
        <v>271</v>
      </c>
      <c r="C305" s="18">
        <f t="shared" si="17"/>
        <v>4.5166666666666666</v>
      </c>
      <c r="D305" s="18">
        <f t="shared" si="18"/>
        <v>21.842226932726199</v>
      </c>
      <c r="E305" s="18">
        <f t="shared" si="19"/>
        <v>36.211597007990548</v>
      </c>
    </row>
    <row r="306" spans="2:5" x14ac:dyDescent="0.3">
      <c r="B306" s="457">
        <v>272</v>
      </c>
      <c r="C306" s="18">
        <f t="shared" si="17"/>
        <v>4.5333333333333332</v>
      </c>
      <c r="D306" s="18">
        <f t="shared" si="18"/>
        <v>21.842514528420764</v>
      </c>
      <c r="E306" s="18">
        <f t="shared" si="19"/>
        <v>36.214127850102741</v>
      </c>
    </row>
    <row r="307" spans="2:5" x14ac:dyDescent="0.3">
      <c r="B307" s="457">
        <v>273</v>
      </c>
      <c r="C307" s="18">
        <f t="shared" si="17"/>
        <v>4.55</v>
      </c>
      <c r="D307" s="18">
        <f t="shared" si="18"/>
        <v>21.842797165122803</v>
      </c>
      <c r="E307" s="18">
        <f t="shared" si="19"/>
        <v>36.216615053080673</v>
      </c>
    </row>
    <row r="308" spans="2:5" x14ac:dyDescent="0.3">
      <c r="B308" s="457">
        <v>274</v>
      </c>
      <c r="C308" s="18">
        <f t="shared" si="17"/>
        <v>4.5666666666666664</v>
      </c>
      <c r="D308" s="18">
        <f t="shared" si="18"/>
        <v>21.843074928339874</v>
      </c>
      <c r="E308" s="18">
        <f t="shared" si="19"/>
        <v>36.219059369390884</v>
      </c>
    </row>
    <row r="309" spans="2:5" x14ac:dyDescent="0.3">
      <c r="B309" s="457">
        <v>275</v>
      </c>
      <c r="C309" s="18">
        <f t="shared" si="17"/>
        <v>4.583333333333333</v>
      </c>
      <c r="D309" s="18">
        <f t="shared" si="18"/>
        <v>21.843347902105137</v>
      </c>
      <c r="E309" s="18">
        <f t="shared" si="19"/>
        <v>36.221461538525205</v>
      </c>
    </row>
    <row r="310" spans="2:5" x14ac:dyDescent="0.3">
      <c r="B310" s="457">
        <v>276</v>
      </c>
      <c r="C310" s="18">
        <f t="shared" si="17"/>
        <v>4.5999999999999996</v>
      </c>
      <c r="D310" s="18">
        <f t="shared" si="18"/>
        <v>21.843616169002779</v>
      </c>
      <c r="E310" s="18">
        <f t="shared" si="19"/>
        <v>36.223822287224451</v>
      </c>
    </row>
    <row r="311" spans="2:5" x14ac:dyDescent="0.3">
      <c r="B311" s="457">
        <v>277</v>
      </c>
      <c r="C311" s="18">
        <f t="shared" si="17"/>
        <v>4.6166666666666663</v>
      </c>
      <c r="D311" s="18">
        <f t="shared" si="18"/>
        <v>21.843879810192988</v>
      </c>
      <c r="E311" s="18">
        <f t="shared" si="19"/>
        <v>36.226142329698298</v>
      </c>
    </row>
    <row r="312" spans="2:5" x14ac:dyDescent="0.3">
      <c r="B312" s="457">
        <v>278</v>
      </c>
      <c r="C312" s="18">
        <f t="shared" si="17"/>
        <v>4.6333333333333337</v>
      </c>
      <c r="D312" s="18">
        <f t="shared" si="18"/>
        <v>21.84413890543652</v>
      </c>
      <c r="E312" s="18">
        <f t="shared" si="19"/>
        <v>36.228422367841361</v>
      </c>
    </row>
    <row r="313" spans="2:5" x14ac:dyDescent="0.3">
      <c r="B313" s="457">
        <v>279</v>
      </c>
      <c r="C313" s="18">
        <f t="shared" si="17"/>
        <v>4.6500000000000004</v>
      </c>
      <c r="D313" s="18">
        <f t="shared" si="18"/>
        <v>21.844393533118808</v>
      </c>
      <c r="E313" s="18">
        <f t="shared" si="19"/>
        <v>36.230663091445521</v>
      </c>
    </row>
    <row r="314" spans="2:5" x14ac:dyDescent="0.3">
      <c r="B314" s="457">
        <v>280</v>
      </c>
      <c r="C314" s="18">
        <f t="shared" si="17"/>
        <v>4.666666666666667</v>
      </c>
      <c r="D314" s="18">
        <f t="shared" si="18"/>
        <v>21.844643770273709</v>
      </c>
      <c r="E314" s="18">
        <f t="shared" si="19"/>
        <v>36.232865178408645</v>
      </c>
    </row>
    <row r="315" spans="2:5" x14ac:dyDescent="0.3">
      <c r="B315" s="457">
        <v>281</v>
      </c>
      <c r="C315" s="18">
        <f t="shared" si="17"/>
        <v>4.6833333333333336</v>
      </c>
      <c r="D315" s="18">
        <f t="shared" si="18"/>
        <v>21.844889692606777</v>
      </c>
      <c r="E315" s="18">
        <f t="shared" si="19"/>
        <v>36.235029294939636</v>
      </c>
    </row>
    <row r="316" spans="2:5" x14ac:dyDescent="0.3">
      <c r="B316" s="457">
        <v>282</v>
      </c>
      <c r="C316" s="18">
        <f t="shared" si="17"/>
        <v>4.7</v>
      </c>
      <c r="D316" s="18">
        <f t="shared" si="18"/>
        <v>21.845131374518182</v>
      </c>
      <c r="E316" s="18">
        <f t="shared" si="19"/>
        <v>36.237156095760014</v>
      </c>
    </row>
    <row r="317" spans="2:5" x14ac:dyDescent="0.3">
      <c r="B317" s="457">
        <v>283</v>
      </c>
      <c r="C317" s="18">
        <f t="shared" si="17"/>
        <v>4.7166666666666668</v>
      </c>
      <c r="D317" s="18">
        <f t="shared" si="18"/>
        <v>21.845368889125226</v>
      </c>
      <c r="E317" s="18">
        <f t="shared" si="19"/>
        <v>36.239246224301972</v>
      </c>
    </row>
    <row r="318" spans="2:5" x14ac:dyDescent="0.3">
      <c r="B318" s="457">
        <v>284</v>
      </c>
      <c r="C318" s="18">
        <f t="shared" si="17"/>
        <v>4.7333333333333334</v>
      </c>
      <c r="D318" s="18">
        <f t="shared" si="18"/>
        <v>21.845602308284437</v>
      </c>
      <c r="E318" s="18">
        <f t="shared" si="19"/>
        <v>36.241300312903057</v>
      </c>
    </row>
    <row r="319" spans="2:5" x14ac:dyDescent="0.3">
      <c r="B319" s="457">
        <v>285</v>
      </c>
      <c r="C319" s="18">
        <f t="shared" si="17"/>
        <v>4.75</v>
      </c>
      <c r="D319" s="18">
        <f t="shared" si="18"/>
        <v>21.845831702613349</v>
      </c>
      <c r="E319" s="18">
        <f t="shared" si="19"/>
        <v>36.243318982997465</v>
      </c>
    </row>
    <row r="320" spans="2:5" x14ac:dyDescent="0.3">
      <c r="B320" s="457">
        <v>286</v>
      </c>
      <c r="C320" s="18">
        <f t="shared" si="17"/>
        <v>4.7666666666666666</v>
      </c>
      <c r="D320" s="18">
        <f t="shared" si="18"/>
        <v>21.846057141511821</v>
      </c>
      <c r="E320" s="18">
        <f t="shared" si="19"/>
        <v>36.245302845304025</v>
      </c>
    </row>
    <row r="321" spans="2:5" x14ac:dyDescent="0.3">
      <c r="B321" s="457">
        <v>287</v>
      </c>
      <c r="C321" s="18">
        <f t="shared" si="17"/>
        <v>4.7833333333333332</v>
      </c>
      <c r="D321" s="18">
        <f t="shared" si="18"/>
        <v>21.84627869318307</v>
      </c>
      <c r="E321" s="18">
        <f t="shared" si="19"/>
        <v>36.247252500011015</v>
      </c>
    </row>
    <row r="322" spans="2:5" x14ac:dyDescent="0.3">
      <c r="B322" s="457">
        <v>288</v>
      </c>
      <c r="C322" s="18">
        <f t="shared" si="17"/>
        <v>4.8</v>
      </c>
      <c r="D322" s="18">
        <f t="shared" si="18"/>
        <v>21.846496424654283</v>
      </c>
      <c r="E322" s="18">
        <f t="shared" si="19"/>
        <v>36.249168536957683</v>
      </c>
    </row>
    <row r="323" spans="2:5" x14ac:dyDescent="0.3">
      <c r="B323" s="457">
        <v>289</v>
      </c>
      <c r="C323" s="18">
        <f t="shared" si="17"/>
        <v>4.8166666666666664</v>
      </c>
      <c r="D323" s="18">
        <f t="shared" si="18"/>
        <v>21.846710401796901</v>
      </c>
      <c r="E323" s="18">
        <f t="shared" si="19"/>
        <v>36.251051535812735</v>
      </c>
    </row>
    <row r="324" spans="2:5" x14ac:dyDescent="0.3">
      <c r="B324" s="457">
        <v>290</v>
      </c>
      <c r="C324" s="18">
        <f t="shared" si="17"/>
        <v>4.833333333333333</v>
      </c>
      <c r="D324" s="18">
        <f t="shared" si="18"/>
        <v>21.846920689346554</v>
      </c>
      <c r="E324" s="18">
        <f t="shared" si="19"/>
        <v>36.252902066249668</v>
      </c>
    </row>
    <row r="325" spans="2:5" x14ac:dyDescent="0.3">
      <c r="B325" s="457">
        <v>291</v>
      </c>
      <c r="C325" s="18">
        <f t="shared" si="17"/>
        <v>4.8499999999999996</v>
      </c>
      <c r="D325" s="18">
        <f t="shared" si="18"/>
        <v>21.847127350922634</v>
      </c>
      <c r="E325" s="18">
        <f t="shared" si="19"/>
        <v>36.254720688119171</v>
      </c>
    </row>
    <row r="326" spans="2:5" x14ac:dyDescent="0.3">
      <c r="B326" s="457">
        <v>292</v>
      </c>
      <c r="C326" s="18">
        <f t="shared" si="17"/>
        <v>4.8666666666666663</v>
      </c>
      <c r="D326" s="18">
        <f t="shared" si="18"/>
        <v>21.847330449047551</v>
      </c>
      <c r="E326" s="18">
        <f t="shared" si="19"/>
        <v>36.256507951618445</v>
      </c>
    </row>
    <row r="327" spans="2:5" x14ac:dyDescent="0.3">
      <c r="B327" s="457">
        <v>293</v>
      </c>
      <c r="C327" s="18">
        <f t="shared" si="17"/>
        <v>4.8833333333333337</v>
      </c>
      <c r="D327" s="18">
        <f t="shared" si="18"/>
        <v>21.847530045165644</v>
      </c>
      <c r="E327" s="18">
        <f t="shared" si="19"/>
        <v>36.25826439745768</v>
      </c>
    </row>
    <row r="328" spans="2:5" x14ac:dyDescent="0.3">
      <c r="B328" s="457">
        <v>294</v>
      </c>
      <c r="C328" s="18">
        <f t="shared" si="17"/>
        <v>4.9000000000000004</v>
      </c>
      <c r="D328" s="18">
        <f t="shared" si="18"/>
        <v>21.847726199661778</v>
      </c>
      <c r="E328" s="18">
        <f t="shared" si="19"/>
        <v>36.259990557023642</v>
      </c>
    </row>
    <row r="329" spans="2:5" x14ac:dyDescent="0.3">
      <c r="B329" s="457">
        <v>295</v>
      </c>
      <c r="C329" s="18">
        <f t="shared" si="17"/>
        <v>4.916666666666667</v>
      </c>
      <c r="D329" s="18">
        <f t="shared" si="18"/>
        <v>21.847918971879594</v>
      </c>
      <c r="E329" s="18">
        <f t="shared" si="19"/>
        <v>36.261686952540437</v>
      </c>
    </row>
    <row r="330" spans="2:5" x14ac:dyDescent="0.3">
      <c r="B330" s="457">
        <v>296</v>
      </c>
      <c r="C330" s="18">
        <f t="shared" si="17"/>
        <v>4.9333333333333336</v>
      </c>
      <c r="D330" s="18">
        <f t="shared" si="18"/>
        <v>21.848108420139486</v>
      </c>
      <c r="E330" s="18">
        <f t="shared" si="19"/>
        <v>36.263354097227491</v>
      </c>
    </row>
    <row r="331" spans="2:5" x14ac:dyDescent="0.3">
      <c r="B331" s="457">
        <v>297</v>
      </c>
      <c r="C331" s="18">
        <f t="shared" si="17"/>
        <v>4.95</v>
      </c>
      <c r="D331" s="18">
        <f t="shared" si="18"/>
        <v>21.84829460175623</v>
      </c>
      <c r="E331" s="18">
        <f t="shared" si="19"/>
        <v>36.26499249545482</v>
      </c>
    </row>
    <row r="332" spans="2:5" x14ac:dyDescent="0.3">
      <c r="B332" s="457">
        <v>298</v>
      </c>
      <c r="C332" s="18">
        <f t="shared" si="17"/>
        <v>4.9666666666666668</v>
      </c>
      <c r="D332" s="18">
        <f t="shared" si="18"/>
        <v>21.848477573056321</v>
      </c>
      <c r="E332" s="18">
        <f t="shared" si="19"/>
        <v>36.26660264289562</v>
      </c>
    </row>
    <row r="333" spans="2:5" x14ac:dyDescent="0.3">
      <c r="B333" s="457">
        <v>299</v>
      </c>
      <c r="C333" s="18">
        <f t="shared" si="17"/>
        <v>4.9833333333333334</v>
      </c>
      <c r="D333" s="18">
        <f t="shared" si="18"/>
        <v>21.848657389395029</v>
      </c>
      <c r="E333" s="18">
        <f t="shared" si="19"/>
        <v>36.26818502667625</v>
      </c>
    </row>
    <row r="334" spans="2:5" x14ac:dyDescent="0.3">
      <c r="B334" s="457">
        <v>300</v>
      </c>
      <c r="C334" s="18">
        <f t="shared" si="17"/>
        <v>5</v>
      </c>
      <c r="D334" s="18">
        <f t="shared" si="18"/>
        <v>21.848834105173133</v>
      </c>
      <c r="E334" s="18">
        <f t="shared" si="19"/>
        <v>36.269740125523569</v>
      </c>
    </row>
    <row r="335" spans="2:5" x14ac:dyDescent="0.3">
      <c r="B335" s="457">
        <v>301</v>
      </c>
      <c r="C335" s="18">
        <f t="shared" si="17"/>
        <v>5.0166666666666666</v>
      </c>
      <c r="D335" s="18">
        <f t="shared" si="18"/>
        <v>21.849007773853383</v>
      </c>
      <c r="E335" s="18">
        <f t="shared" si="19"/>
        <v>36.271268409909766</v>
      </c>
    </row>
    <row r="336" spans="2:5" x14ac:dyDescent="0.3">
      <c r="B336" s="457">
        <v>302</v>
      </c>
      <c r="C336" s="18">
        <f t="shared" si="17"/>
        <v>5.0333333333333332</v>
      </c>
      <c r="D336" s="18">
        <f t="shared" si="18"/>
        <v>21.849178447976676</v>
      </c>
      <c r="E336" s="18">
        <f t="shared" si="19"/>
        <v>36.272770342194747</v>
      </c>
    </row>
    <row r="337" spans="2:5" x14ac:dyDescent="0.3">
      <c r="B337" s="457">
        <v>303</v>
      </c>
      <c r="C337" s="18">
        <f t="shared" si="17"/>
        <v>5.05</v>
      </c>
      <c r="D337" s="18">
        <f t="shared" si="18"/>
        <v>21.849346179177946</v>
      </c>
      <c r="E337" s="18">
        <f t="shared" si="19"/>
        <v>36.27424637676593</v>
      </c>
    </row>
    <row r="338" spans="2:5" x14ac:dyDescent="0.3">
      <c r="B338" s="457">
        <v>304</v>
      </c>
      <c r="C338" s="18">
        <f t="shared" si="17"/>
        <v>5.0666666666666664</v>
      </c>
      <c r="D338" s="18">
        <f t="shared" si="18"/>
        <v>21.849511018201799</v>
      </c>
      <c r="E338" s="18">
        <f t="shared" si="19"/>
        <v>36.275696960175821</v>
      </c>
    </row>
    <row r="339" spans="2:5" x14ac:dyDescent="0.3">
      <c r="B339" s="457">
        <v>305</v>
      </c>
      <c r="C339" s="18">
        <f t="shared" si="17"/>
        <v>5.083333333333333</v>
      </c>
      <c r="D339" s="18">
        <f t="shared" si="18"/>
        <v>21.84967301491784</v>
      </c>
      <c r="E339" s="18">
        <f t="shared" si="19"/>
        <v>36.277122531277001</v>
      </c>
    </row>
    <row r="340" spans="2:5" x14ac:dyDescent="0.3">
      <c r="B340" s="457">
        <v>306</v>
      </c>
      <c r="C340" s="18">
        <f t="shared" si="17"/>
        <v>5.0999999999999996</v>
      </c>
      <c r="D340" s="18">
        <f t="shared" si="18"/>
        <v>21.849832218335791</v>
      </c>
      <c r="E340" s="18">
        <f t="shared" si="19"/>
        <v>36.27852352135497</v>
      </c>
    </row>
    <row r="341" spans="2:5" x14ac:dyDescent="0.3">
      <c r="B341" s="457">
        <v>307</v>
      </c>
      <c r="C341" s="18">
        <f t="shared" si="17"/>
        <v>5.1166666666666663</v>
      </c>
      <c r="D341" s="18">
        <f t="shared" si="18"/>
        <v>21.849988676620296</v>
      </c>
      <c r="E341" s="18">
        <f t="shared" si="19"/>
        <v>36.279900354258615</v>
      </c>
    </row>
    <row r="342" spans="2:5" x14ac:dyDescent="0.3">
      <c r="B342" s="457">
        <v>308</v>
      </c>
      <c r="C342" s="18">
        <f t="shared" si="17"/>
        <v>5.1333333333333337</v>
      </c>
      <c r="D342" s="18">
        <f t="shared" si="18"/>
        <v>21.850142437105497</v>
      </c>
      <c r="E342" s="18">
        <f t="shared" si="19"/>
        <v>36.281253446528382</v>
      </c>
    </row>
    <row r="343" spans="2:5" x14ac:dyDescent="0.3">
      <c r="B343" s="457">
        <v>309</v>
      </c>
      <c r="C343" s="18">
        <f t="shared" si="17"/>
        <v>5.15</v>
      </c>
      <c r="D343" s="18">
        <f t="shared" si="18"/>
        <v>21.850293546309363</v>
      </c>
      <c r="E343" s="18">
        <f t="shared" si="19"/>
        <v>36.282583207522393</v>
      </c>
    </row>
    <row r="344" spans="2:5" x14ac:dyDescent="0.3">
      <c r="B344" s="457">
        <v>310</v>
      </c>
      <c r="C344" s="18">
        <f t="shared" si="17"/>
        <v>5.166666666666667</v>
      </c>
      <c r="D344" s="18">
        <f t="shared" si="18"/>
        <v>21.850442049947748</v>
      </c>
      <c r="E344" s="18">
        <f t="shared" si="19"/>
        <v>36.283890039540196</v>
      </c>
    </row>
    <row r="345" spans="2:5" x14ac:dyDescent="0.3">
      <c r="B345" s="457">
        <v>311</v>
      </c>
      <c r="C345" s="18">
        <f t="shared" si="17"/>
        <v>5.1833333333333336</v>
      </c>
      <c r="D345" s="18">
        <f t="shared" si="18"/>
        <v>21.850587992948242</v>
      </c>
      <c r="E345" s="18">
        <f t="shared" si="19"/>
        <v>36.28517433794454</v>
      </c>
    </row>
    <row r="346" spans="2:5" x14ac:dyDescent="0.3">
      <c r="B346" s="457">
        <v>312</v>
      </c>
      <c r="C346" s="18">
        <f t="shared" si="17"/>
        <v>5.2</v>
      </c>
      <c r="D346" s="18">
        <f t="shared" si="18"/>
        <v>21.850731419463745</v>
      </c>
      <c r="E346" s="18">
        <f t="shared" si="19"/>
        <v>36.286436491280952</v>
      </c>
    </row>
    <row r="347" spans="2:5" x14ac:dyDescent="0.3">
      <c r="B347" s="457">
        <v>313</v>
      </c>
      <c r="C347" s="18">
        <f t="shared" si="17"/>
        <v>5.2166666666666668</v>
      </c>
      <c r="D347" s="18">
        <f t="shared" si="18"/>
        <v>21.850872372885828</v>
      </c>
      <c r="E347" s="18">
        <f t="shared" si="19"/>
        <v>36.287676881395285</v>
      </c>
    </row>
    <row r="348" spans="2:5" x14ac:dyDescent="0.3">
      <c r="B348" s="457">
        <v>314</v>
      </c>
      <c r="C348" s="18">
        <f t="shared" si="17"/>
        <v>5.2333333333333334</v>
      </c>
      <c r="D348" s="18">
        <f t="shared" si="18"/>
        <v>21.851010895857872</v>
      </c>
      <c r="E348" s="18">
        <f t="shared" si="19"/>
        <v>36.288895883549273</v>
      </c>
    </row>
    <row r="349" spans="2:5" x14ac:dyDescent="0.3">
      <c r="B349" s="457">
        <v>315</v>
      </c>
      <c r="C349" s="18">
        <f t="shared" si="17"/>
        <v>5.25</v>
      </c>
      <c r="D349" s="18">
        <f t="shared" si="18"/>
        <v>21.851147030287958</v>
      </c>
      <c r="E349" s="18">
        <f t="shared" si="19"/>
        <v>36.290093866534022</v>
      </c>
    </row>
    <row r="350" spans="2:5" x14ac:dyDescent="0.3">
      <c r="B350" s="457">
        <v>316</v>
      </c>
      <c r="C350" s="18">
        <f t="shared" si="17"/>
        <v>5.2666666666666666</v>
      </c>
      <c r="D350" s="18">
        <f t="shared" si="18"/>
        <v>21.851280817361545</v>
      </c>
      <c r="E350" s="18">
        <f t="shared" si="19"/>
        <v>36.291271192781593</v>
      </c>
    </row>
    <row r="351" spans="2:5" x14ac:dyDescent="0.3">
      <c r="B351" s="457">
        <v>317</v>
      </c>
      <c r="C351" s="18">
        <f t="shared" si="17"/>
        <v>5.2833333333333332</v>
      </c>
      <c r="D351" s="18">
        <f t="shared" si="18"/>
        <v>21.851412297553942</v>
      </c>
      <c r="E351" s="18">
        <f t="shared" si="19"/>
        <v>36.29242821847469</v>
      </c>
    </row>
    <row r="352" spans="2:5" x14ac:dyDescent="0.3">
      <c r="B352" s="457">
        <v>318</v>
      </c>
      <c r="C352" s="18">
        <f t="shared" si="17"/>
        <v>5.3</v>
      </c>
      <c r="D352" s="18">
        <f t="shared" si="18"/>
        <v>21.851541510642541</v>
      </c>
      <c r="E352" s="18">
        <f t="shared" si="19"/>
        <v>36.293565293654346</v>
      </c>
    </row>
    <row r="353" spans="2:5" x14ac:dyDescent="0.3">
      <c r="B353" s="457">
        <v>319</v>
      </c>
      <c r="C353" s="18">
        <f t="shared" si="17"/>
        <v>5.3166666666666664</v>
      </c>
      <c r="D353" s="18">
        <f t="shared" si="18"/>
        <v>21.851668495718847</v>
      </c>
      <c r="E353" s="18">
        <f t="shared" si="19"/>
        <v>36.294682762325877</v>
      </c>
    </row>
    <row r="354" spans="2:5" x14ac:dyDescent="0.3">
      <c r="B354" s="457">
        <v>320</v>
      </c>
      <c r="C354" s="18">
        <f t="shared" si="17"/>
        <v>5.333333333333333</v>
      </c>
      <c r="D354" s="18">
        <f t="shared" si="18"/>
        <v>21.851793291200334</v>
      </c>
      <c r="E354" s="18">
        <f t="shared" si="19"/>
        <v>36.29578096256293</v>
      </c>
    </row>
    <row r="355" spans="2:5" x14ac:dyDescent="0.3">
      <c r="B355" s="457">
        <v>321</v>
      </c>
      <c r="C355" s="18">
        <f t="shared" si="17"/>
        <v>5.35</v>
      </c>
      <c r="D355" s="18">
        <f t="shared" si="18"/>
        <v>21.851915934842019</v>
      </c>
      <c r="E355" s="18">
        <f t="shared" si="19"/>
        <v>36.29686022660978</v>
      </c>
    </row>
    <row r="356" spans="2:5" x14ac:dyDescent="0.3">
      <c r="B356" s="457">
        <v>322</v>
      </c>
      <c r="C356" s="18">
        <f t="shared" ref="C356:C419" si="20">B356/60</f>
        <v>5.3666666666666663</v>
      </c>
      <c r="D356" s="18">
        <f t="shared" ref="D356:D419" si="21">$I$32+$G$27/$A$32/$D$32*(1-EXP(-B356/($G$32*$H$32/$A$32/$D$32)))</f>
        <v>21.852036463747936</v>
      </c>
      <c r="E356" s="18">
        <f t="shared" ref="E356:E419" si="22">$I$32+$G$27/$A$32/$E$32*(1-EXP(-B356/($G$32*$H$32/$A$32/$D$32)))</f>
        <v>36.297920880981849</v>
      </c>
    </row>
    <row r="357" spans="2:5" x14ac:dyDescent="0.3">
      <c r="B357" s="457">
        <v>323</v>
      </c>
      <c r="C357" s="18">
        <f t="shared" si="20"/>
        <v>5.3833333333333337</v>
      </c>
      <c r="D357" s="18">
        <f t="shared" si="21"/>
        <v>21.852154914382325</v>
      </c>
      <c r="E357" s="18">
        <f t="shared" si="22"/>
        <v>36.298963246564455</v>
      </c>
    </row>
    <row r="358" spans="2:5" x14ac:dyDescent="0.3">
      <c r="B358" s="457">
        <v>324</v>
      </c>
      <c r="C358" s="18">
        <f t="shared" si="20"/>
        <v>5.4</v>
      </c>
      <c r="D358" s="18">
        <f t="shared" si="21"/>
        <v>21.852271322580673</v>
      </c>
      <c r="E358" s="18">
        <f t="shared" si="22"/>
        <v>36.299987638709908</v>
      </c>
    </row>
    <row r="359" spans="2:5" x14ac:dyDescent="0.3">
      <c r="B359" s="457">
        <v>325</v>
      </c>
      <c r="C359" s="18">
        <f t="shared" si="20"/>
        <v>5.416666666666667</v>
      </c>
      <c r="D359" s="18">
        <f t="shared" si="21"/>
        <v>21.852385723560563</v>
      </c>
      <c r="E359" s="18">
        <f t="shared" si="22"/>
        <v>36.300994367332962</v>
      </c>
    </row>
    <row r="360" spans="2:5" x14ac:dyDescent="0.3">
      <c r="B360" s="457">
        <v>326</v>
      </c>
      <c r="C360" s="18">
        <f t="shared" si="20"/>
        <v>5.4333333333333336</v>
      </c>
      <c r="D360" s="18">
        <f t="shared" si="21"/>
        <v>21.852498151932327</v>
      </c>
      <c r="E360" s="18">
        <f t="shared" si="22"/>
        <v>36.301983737004477</v>
      </c>
    </row>
    <row r="361" spans="2:5" x14ac:dyDescent="0.3">
      <c r="B361" s="457">
        <v>327</v>
      </c>
      <c r="C361" s="18">
        <f t="shared" si="20"/>
        <v>5.45</v>
      </c>
      <c r="D361" s="18">
        <f t="shared" si="21"/>
        <v>21.852608641709505</v>
      </c>
      <c r="E361" s="18">
        <f t="shared" si="22"/>
        <v>36.302956047043651</v>
      </c>
    </row>
    <row r="362" spans="2:5" x14ac:dyDescent="0.3">
      <c r="B362" s="457">
        <v>328</v>
      </c>
      <c r="C362" s="18">
        <f t="shared" si="20"/>
        <v>5.4666666666666668</v>
      </c>
      <c r="D362" s="18">
        <f t="shared" si="21"/>
        <v>21.852717226319154</v>
      </c>
      <c r="E362" s="18">
        <f t="shared" si="22"/>
        <v>36.303911591608546</v>
      </c>
    </row>
    <row r="363" spans="2:5" x14ac:dyDescent="0.3">
      <c r="B363" s="457">
        <v>329</v>
      </c>
      <c r="C363" s="18">
        <f t="shared" si="20"/>
        <v>5.4833333333333334</v>
      </c>
      <c r="D363" s="18">
        <f t="shared" si="21"/>
        <v>21.852823938611937</v>
      </c>
      <c r="E363" s="18">
        <f t="shared" si="22"/>
        <v>36.30485065978506</v>
      </c>
    </row>
    <row r="364" spans="2:5" x14ac:dyDescent="0.3">
      <c r="B364" s="457">
        <v>330</v>
      </c>
      <c r="C364" s="18">
        <f t="shared" si="20"/>
        <v>5.5</v>
      </c>
      <c r="D364" s="18">
        <f t="shared" si="21"/>
        <v>21.852928810872093</v>
      </c>
      <c r="E364" s="18">
        <f t="shared" si="22"/>
        <v>36.305773535674412</v>
      </c>
    </row>
    <row r="365" spans="2:5" x14ac:dyDescent="0.3">
      <c r="B365" s="457">
        <v>331</v>
      </c>
      <c r="C365" s="18">
        <f t="shared" si="20"/>
        <v>5.5166666666666666</v>
      </c>
      <c r="D365" s="18">
        <f t="shared" si="21"/>
        <v>21.853031874827167</v>
      </c>
      <c r="E365" s="18">
        <f t="shared" si="22"/>
        <v>36.306680498479082</v>
      </c>
    </row>
    <row r="366" spans="2:5" x14ac:dyDescent="0.3">
      <c r="B366" s="457">
        <v>332</v>
      </c>
      <c r="C366" s="18">
        <f t="shared" si="20"/>
        <v>5.5333333333333332</v>
      </c>
      <c r="D366" s="18">
        <f t="shared" si="21"/>
        <v>21.853133161657645</v>
      </c>
      <c r="E366" s="18">
        <f t="shared" si="22"/>
        <v>36.307571822587278</v>
      </c>
    </row>
    <row r="367" spans="2:5" x14ac:dyDescent="0.3">
      <c r="B367" s="457">
        <v>333</v>
      </c>
      <c r="C367" s="18">
        <f t="shared" si="20"/>
        <v>5.55</v>
      </c>
      <c r="D367" s="18">
        <f t="shared" si="21"/>
        <v>21.853232702006359</v>
      </c>
      <c r="E367" s="18">
        <f t="shared" si="22"/>
        <v>36.308447777655957</v>
      </c>
    </row>
    <row r="368" spans="2:5" x14ac:dyDescent="0.3">
      <c r="B368" s="457">
        <v>334</v>
      </c>
      <c r="C368" s="18">
        <f t="shared" si="20"/>
        <v>5.5666666666666664</v>
      </c>
      <c r="D368" s="18">
        <f t="shared" si="21"/>
        <v>21.853330525987772</v>
      </c>
      <c r="E368" s="18">
        <f t="shared" si="22"/>
        <v>36.309308628692406</v>
      </c>
    </row>
    <row r="369" spans="2:5" x14ac:dyDescent="0.3">
      <c r="B369" s="457">
        <v>335</v>
      </c>
      <c r="C369" s="18">
        <f t="shared" si="20"/>
        <v>5.583333333333333</v>
      </c>
      <c r="D369" s="18">
        <f t="shared" si="21"/>
        <v>21.853426663197087</v>
      </c>
      <c r="E369" s="18">
        <f t="shared" si="22"/>
        <v>36.310154636134378</v>
      </c>
    </row>
    <row r="370" spans="2:5" x14ac:dyDescent="0.3">
      <c r="B370" s="457">
        <v>336</v>
      </c>
      <c r="C370" s="18">
        <f t="shared" si="20"/>
        <v>5.6</v>
      </c>
      <c r="D370" s="18">
        <f t="shared" si="21"/>
        <v>21.853521142719199</v>
      </c>
      <c r="E370" s="18">
        <f t="shared" si="22"/>
        <v>36.310986055928957</v>
      </c>
    </row>
    <row r="371" spans="2:5" x14ac:dyDescent="0.3">
      <c r="B371" s="457">
        <v>337</v>
      </c>
      <c r="C371" s="18">
        <f t="shared" si="20"/>
        <v>5.6166666666666663</v>
      </c>
      <c r="D371" s="18">
        <f t="shared" si="21"/>
        <v>21.85361399313749</v>
      </c>
      <c r="E371" s="18">
        <f t="shared" si="22"/>
        <v>36.311803139609921</v>
      </c>
    </row>
    <row r="372" spans="2:5" x14ac:dyDescent="0.3">
      <c r="B372" s="457">
        <v>338</v>
      </c>
      <c r="C372" s="18">
        <f t="shared" si="20"/>
        <v>5.6333333333333337</v>
      </c>
      <c r="D372" s="18">
        <f t="shared" si="21"/>
        <v>21.853705242542489</v>
      </c>
      <c r="E372" s="18">
        <f t="shared" si="22"/>
        <v>36.312606134373894</v>
      </c>
    </row>
    <row r="373" spans="2:5" x14ac:dyDescent="0.3">
      <c r="B373" s="457">
        <v>339</v>
      </c>
      <c r="C373" s="18">
        <f t="shared" si="20"/>
        <v>5.65</v>
      </c>
      <c r="D373" s="18">
        <f t="shared" si="21"/>
        <v>21.853794918540348</v>
      </c>
      <c r="E373" s="18">
        <f t="shared" si="22"/>
        <v>36.313395283155074</v>
      </c>
    </row>
    <row r="374" spans="2:5" x14ac:dyDescent="0.3">
      <c r="B374" s="457">
        <v>340</v>
      </c>
      <c r="C374" s="18">
        <f t="shared" si="20"/>
        <v>5.666666666666667</v>
      </c>
      <c r="D374" s="18">
        <f t="shared" si="21"/>
        <v>21.853883048261224</v>
      </c>
      <c r="E374" s="18">
        <f t="shared" si="22"/>
        <v>36.314170824698785</v>
      </c>
    </row>
    <row r="375" spans="2:5" x14ac:dyDescent="0.3">
      <c r="B375" s="457">
        <v>341</v>
      </c>
      <c r="C375" s="18">
        <f t="shared" si="20"/>
        <v>5.6833333333333336</v>
      </c>
      <c r="D375" s="18">
        <f t="shared" si="21"/>
        <v>21.853969658367461</v>
      </c>
      <c r="E375" s="18">
        <f t="shared" si="22"/>
        <v>36.314932993633668</v>
      </c>
    </row>
    <row r="376" spans="2:5" x14ac:dyDescent="0.3">
      <c r="B376" s="457">
        <v>342</v>
      </c>
      <c r="C376" s="18">
        <f t="shared" si="20"/>
        <v>5.7</v>
      </c>
      <c r="D376" s="18">
        <f t="shared" si="21"/>
        <v>21.85405477506167</v>
      </c>
      <c r="E376" s="18">
        <f t="shared" si="22"/>
        <v>36.315682020542695</v>
      </c>
    </row>
    <row r="377" spans="2:5" x14ac:dyDescent="0.3">
      <c r="B377" s="457">
        <v>343</v>
      </c>
      <c r="C377" s="18">
        <f t="shared" si="20"/>
        <v>5.7166666666666668</v>
      </c>
      <c r="D377" s="18">
        <f t="shared" si="21"/>
        <v>21.854138424094646</v>
      </c>
      <c r="E377" s="18">
        <f t="shared" si="22"/>
        <v>36.316418132032908</v>
      </c>
    </row>
    <row r="378" spans="2:5" x14ac:dyDescent="0.3">
      <c r="B378" s="457">
        <v>344</v>
      </c>
      <c r="C378" s="18">
        <f t="shared" si="20"/>
        <v>5.7333333333333334</v>
      </c>
      <c r="D378" s="18">
        <f t="shared" si="21"/>
        <v>21.854220630773177</v>
      </c>
      <c r="E378" s="18">
        <f t="shared" si="22"/>
        <v>36.317141550803953</v>
      </c>
    </row>
    <row r="379" spans="2:5" x14ac:dyDescent="0.3">
      <c r="B379" s="457">
        <v>345</v>
      </c>
      <c r="C379" s="18">
        <f t="shared" si="20"/>
        <v>5.75</v>
      </c>
      <c r="D379" s="18">
        <f t="shared" si="21"/>
        <v>21.854301419967673</v>
      </c>
      <c r="E379" s="18">
        <f t="shared" si="22"/>
        <v>36.317852495715513</v>
      </c>
    </row>
    <row r="380" spans="2:5" x14ac:dyDescent="0.3">
      <c r="B380" s="457">
        <v>346</v>
      </c>
      <c r="C380" s="18">
        <f t="shared" si="20"/>
        <v>5.7666666666666666</v>
      </c>
      <c r="D380" s="18">
        <f t="shared" si="21"/>
        <v>21.854380816119715</v>
      </c>
      <c r="E380" s="18">
        <f t="shared" si="22"/>
        <v>36.318551181853486</v>
      </c>
    </row>
    <row r="381" spans="2:5" x14ac:dyDescent="0.3">
      <c r="B381" s="457">
        <v>347</v>
      </c>
      <c r="C381" s="18">
        <f t="shared" si="20"/>
        <v>5.7833333333333332</v>
      </c>
      <c r="D381" s="18">
        <f t="shared" si="21"/>
        <v>21.854458843249436</v>
      </c>
      <c r="E381" s="18">
        <f t="shared" si="22"/>
        <v>36.319237820595049</v>
      </c>
    </row>
    <row r="382" spans="2:5" x14ac:dyDescent="0.3">
      <c r="B382" s="457">
        <v>348</v>
      </c>
      <c r="C382" s="18">
        <f t="shared" si="20"/>
        <v>5.8</v>
      </c>
      <c r="D382" s="18">
        <f t="shared" si="21"/>
        <v>21.854535524962795</v>
      </c>
      <c r="E382" s="18">
        <f t="shared" si="22"/>
        <v>36.319912619672607</v>
      </c>
    </row>
    <row r="383" spans="2:5" x14ac:dyDescent="0.3">
      <c r="B383" s="457">
        <v>349</v>
      </c>
      <c r="C383" s="18">
        <f t="shared" si="20"/>
        <v>5.8166666666666664</v>
      </c>
      <c r="D383" s="18">
        <f t="shared" si="21"/>
        <v>21.854610884458712</v>
      </c>
      <c r="E383" s="18">
        <f t="shared" si="22"/>
        <v>36.32057578323667</v>
      </c>
    </row>
    <row r="384" spans="2:5" x14ac:dyDescent="0.3">
      <c r="B384" s="457">
        <v>350</v>
      </c>
      <c r="C384" s="18">
        <f t="shared" si="20"/>
        <v>5.833333333333333</v>
      </c>
      <c r="D384" s="18">
        <f t="shared" si="21"/>
        <v>21.854684944536089</v>
      </c>
      <c r="E384" s="18">
        <f t="shared" si="22"/>
        <v>36.321227511917591</v>
      </c>
    </row>
    <row r="385" spans="2:5" x14ac:dyDescent="0.3">
      <c r="B385" s="457">
        <v>351</v>
      </c>
      <c r="C385" s="18">
        <f t="shared" si="20"/>
        <v>5.85</v>
      </c>
      <c r="D385" s="18">
        <f t="shared" si="21"/>
        <v>21.85475772760071</v>
      </c>
      <c r="E385" s="18">
        <f t="shared" si="22"/>
        <v>36.321868002886255</v>
      </c>
    </row>
    <row r="386" spans="2:5" x14ac:dyDescent="0.3">
      <c r="B386" s="457">
        <v>352</v>
      </c>
      <c r="C386" s="18">
        <f t="shared" si="20"/>
        <v>5.8666666666666663</v>
      </c>
      <c r="D386" s="18">
        <f t="shared" si="21"/>
        <v>21.854829255672019</v>
      </c>
      <c r="E386" s="18">
        <f t="shared" si="22"/>
        <v>36.322497449913762</v>
      </c>
    </row>
    <row r="387" spans="2:5" x14ac:dyDescent="0.3">
      <c r="B387" s="457">
        <v>353</v>
      </c>
      <c r="C387" s="18">
        <f t="shared" si="20"/>
        <v>5.8833333333333337</v>
      </c>
      <c r="D387" s="18">
        <f t="shared" si="21"/>
        <v>21.854899550389774</v>
      </c>
      <c r="E387" s="18">
        <f t="shared" si="22"/>
        <v>36.323116043430005</v>
      </c>
    </row>
    <row r="388" spans="2:5" x14ac:dyDescent="0.3">
      <c r="B388" s="457">
        <v>354</v>
      </c>
      <c r="C388" s="18">
        <f t="shared" si="20"/>
        <v>5.9</v>
      </c>
      <c r="D388" s="18">
        <f t="shared" si="21"/>
        <v>21.854968633020608</v>
      </c>
      <c r="E388" s="18">
        <f t="shared" si="22"/>
        <v>36.323723970581341</v>
      </c>
    </row>
    <row r="389" spans="2:5" x14ac:dyDescent="0.3">
      <c r="B389" s="457">
        <v>355</v>
      </c>
      <c r="C389" s="18">
        <f t="shared" si="20"/>
        <v>5.916666666666667</v>
      </c>
      <c r="D389" s="18">
        <f t="shared" si="21"/>
        <v>21.855036524464449</v>
      </c>
      <c r="E389" s="18">
        <f t="shared" si="22"/>
        <v>36.324321415287145</v>
      </c>
    </row>
    <row r="390" spans="2:5" x14ac:dyDescent="0.3">
      <c r="B390" s="457">
        <v>356</v>
      </c>
      <c r="C390" s="18">
        <f t="shared" si="20"/>
        <v>5.9333333333333336</v>
      </c>
      <c r="D390" s="18">
        <f t="shared" si="21"/>
        <v>21.855103245260853</v>
      </c>
      <c r="E390" s="18">
        <f t="shared" si="22"/>
        <v>36.324908558295498</v>
      </c>
    </row>
    <row r="391" spans="2:5" x14ac:dyDescent="0.3">
      <c r="B391" s="457">
        <v>357</v>
      </c>
      <c r="C391" s="18">
        <f t="shared" si="20"/>
        <v>5.95</v>
      </c>
      <c r="D391" s="18">
        <f t="shared" si="21"/>
        <v>21.85516881559521</v>
      </c>
      <c r="E391" s="18">
        <f t="shared" si="22"/>
        <v>36.325485577237856</v>
      </c>
    </row>
    <row r="392" spans="2:5" x14ac:dyDescent="0.3">
      <c r="B392" s="457">
        <v>358</v>
      </c>
      <c r="C392" s="18">
        <f t="shared" si="20"/>
        <v>5.9666666666666668</v>
      </c>
      <c r="D392" s="18">
        <f t="shared" si="21"/>
        <v>21.85523325530486</v>
      </c>
      <c r="E392" s="18">
        <f t="shared" si="22"/>
        <v>36.326052646682776</v>
      </c>
    </row>
    <row r="393" spans="2:5" x14ac:dyDescent="0.3">
      <c r="B393" s="457">
        <v>359</v>
      </c>
      <c r="C393" s="18">
        <f t="shared" si="20"/>
        <v>5.9833333333333334</v>
      </c>
      <c r="D393" s="18">
        <f t="shared" si="21"/>
        <v>21.855296583885085</v>
      </c>
      <c r="E393" s="18">
        <f t="shared" si="22"/>
        <v>36.326609938188753</v>
      </c>
    </row>
    <row r="394" spans="2:5" x14ac:dyDescent="0.3">
      <c r="B394" s="457">
        <v>360</v>
      </c>
      <c r="C394" s="18">
        <f t="shared" si="20"/>
        <v>6</v>
      </c>
      <c r="D394" s="18">
        <f t="shared" si="21"/>
        <v>21.855358820495013</v>
      </c>
      <c r="E394" s="18">
        <f t="shared" si="22"/>
        <v>36.327157620356104</v>
      </c>
    </row>
    <row r="395" spans="2:5" x14ac:dyDescent="0.3">
      <c r="B395" s="457">
        <v>361</v>
      </c>
      <c r="C395" s="18">
        <f t="shared" si="20"/>
        <v>6.0166666666666666</v>
      </c>
      <c r="D395" s="18">
        <f t="shared" si="21"/>
        <v>21.855419983963408</v>
      </c>
      <c r="E395" s="18">
        <f t="shared" si="22"/>
        <v>36.327695858877995</v>
      </c>
    </row>
    <row r="396" spans="2:5" x14ac:dyDescent="0.3">
      <c r="B396" s="457">
        <v>362</v>
      </c>
      <c r="C396" s="18">
        <f t="shared" si="20"/>
        <v>6.0333333333333332</v>
      </c>
      <c r="D396" s="18">
        <f t="shared" si="21"/>
        <v>21.85548009279438</v>
      </c>
      <c r="E396" s="18">
        <f t="shared" si="22"/>
        <v>36.328224816590541</v>
      </c>
    </row>
    <row r="397" spans="2:5" x14ac:dyDescent="0.3">
      <c r="B397" s="457">
        <v>363</v>
      </c>
      <c r="C397" s="18">
        <f t="shared" si="20"/>
        <v>6.05</v>
      </c>
      <c r="D397" s="18">
        <f t="shared" si="21"/>
        <v>21.855539165172964</v>
      </c>
      <c r="E397" s="18">
        <f t="shared" si="22"/>
        <v>36.328744653522094</v>
      </c>
    </row>
    <row r="398" spans="2:5" x14ac:dyDescent="0.3">
      <c r="B398" s="457">
        <v>364</v>
      </c>
      <c r="C398" s="18">
        <f t="shared" si="20"/>
        <v>6.0666666666666664</v>
      </c>
      <c r="D398" s="18">
        <f t="shared" si="21"/>
        <v>21.85559721897064</v>
      </c>
      <c r="E398" s="18">
        <f t="shared" si="22"/>
        <v>36.32925552694163</v>
      </c>
    </row>
    <row r="399" spans="2:5" x14ac:dyDescent="0.3">
      <c r="B399" s="457">
        <v>365</v>
      </c>
      <c r="C399" s="18">
        <f t="shared" si="20"/>
        <v>6.083333333333333</v>
      </c>
      <c r="D399" s="18">
        <f t="shared" si="21"/>
        <v>21.855654271750726</v>
      </c>
      <c r="E399" s="18">
        <f t="shared" si="22"/>
        <v>36.329757591406384</v>
      </c>
    </row>
    <row r="400" spans="2:5" x14ac:dyDescent="0.3">
      <c r="B400" s="457">
        <v>366</v>
      </c>
      <c r="C400" s="18">
        <f t="shared" si="20"/>
        <v>6.1</v>
      </c>
      <c r="D400" s="18">
        <f t="shared" si="21"/>
        <v>21.855710340773697</v>
      </c>
      <c r="E400" s="18">
        <f t="shared" si="22"/>
        <v>36.330250998808538</v>
      </c>
    </row>
    <row r="401" spans="2:5" x14ac:dyDescent="0.3">
      <c r="B401" s="457">
        <v>367</v>
      </c>
      <c r="C401" s="18">
        <f t="shared" si="20"/>
        <v>6.1166666666666663</v>
      </c>
      <c r="D401" s="18">
        <f t="shared" si="21"/>
        <v>21.855765443002412</v>
      </c>
      <c r="E401" s="18">
        <f t="shared" si="22"/>
        <v>36.330735898421224</v>
      </c>
    </row>
    <row r="402" spans="2:5" x14ac:dyDescent="0.3">
      <c r="B402" s="457">
        <v>368</v>
      </c>
      <c r="C402" s="18">
        <f t="shared" si="20"/>
        <v>6.1333333333333337</v>
      </c>
      <c r="D402" s="18">
        <f t="shared" si="21"/>
        <v>21.855819595107235</v>
      </c>
      <c r="E402" s="18">
        <f t="shared" si="22"/>
        <v>36.331212436943659</v>
      </c>
    </row>
    <row r="403" spans="2:5" x14ac:dyDescent="0.3">
      <c r="B403" s="457">
        <v>369</v>
      </c>
      <c r="C403" s="18">
        <f t="shared" si="20"/>
        <v>6.15</v>
      </c>
      <c r="D403" s="18">
        <f t="shared" si="21"/>
        <v>21.855872813471084</v>
      </c>
      <c r="E403" s="18">
        <f t="shared" si="22"/>
        <v>36.331680758545545</v>
      </c>
    </row>
    <row r="404" spans="2:5" x14ac:dyDescent="0.3">
      <c r="B404" s="457">
        <v>370</v>
      </c>
      <c r="C404" s="18">
        <f t="shared" si="20"/>
        <v>6.166666666666667</v>
      </c>
      <c r="D404" s="18">
        <f t="shared" si="21"/>
        <v>21.855925114194395</v>
      </c>
      <c r="E404" s="18">
        <f t="shared" si="22"/>
        <v>36.332141004910667</v>
      </c>
    </row>
    <row r="405" spans="2:5" x14ac:dyDescent="0.3">
      <c r="B405" s="457">
        <v>371</v>
      </c>
      <c r="C405" s="18">
        <f t="shared" si="20"/>
        <v>6.1833333333333336</v>
      </c>
      <c r="D405" s="18">
        <f t="shared" si="21"/>
        <v>21.855976513099975</v>
      </c>
      <c r="E405" s="18">
        <f t="shared" si="22"/>
        <v>36.332593315279766</v>
      </c>
    </row>
    <row r="406" spans="2:5" x14ac:dyDescent="0.3">
      <c r="B406" s="457">
        <v>372</v>
      </c>
      <c r="C406" s="18">
        <f t="shared" si="20"/>
        <v>6.2</v>
      </c>
      <c r="D406" s="18">
        <f t="shared" si="21"/>
        <v>21.856027025737806</v>
      </c>
      <c r="E406" s="18">
        <f t="shared" si="22"/>
        <v>36.333037826492685</v>
      </c>
    </row>
    <row r="407" spans="2:5" x14ac:dyDescent="0.3">
      <c r="B407" s="457">
        <v>373</v>
      </c>
      <c r="C407" s="18">
        <f t="shared" si="20"/>
        <v>6.2166666666666668</v>
      </c>
      <c r="D407" s="18">
        <f t="shared" si="21"/>
        <v>21.85607666738974</v>
      </c>
      <c r="E407" s="18">
        <f t="shared" si="22"/>
        <v>36.333474673029713</v>
      </c>
    </row>
    <row r="408" spans="2:5" x14ac:dyDescent="0.3">
      <c r="B408" s="457">
        <v>374</v>
      </c>
      <c r="C408" s="18">
        <f t="shared" si="20"/>
        <v>6.2333333333333334</v>
      </c>
      <c r="D408" s="18">
        <f t="shared" si="21"/>
        <v>21.856125453074128</v>
      </c>
      <c r="E408" s="18">
        <f t="shared" si="22"/>
        <v>36.333903987052324</v>
      </c>
    </row>
    <row r="409" spans="2:5" x14ac:dyDescent="0.3">
      <c r="B409" s="457">
        <v>375</v>
      </c>
      <c r="C409" s="18">
        <f t="shared" si="20"/>
        <v>6.25</v>
      </c>
      <c r="D409" s="18">
        <f t="shared" si="21"/>
        <v>21.856173397550357</v>
      </c>
      <c r="E409" s="18">
        <f t="shared" si="22"/>
        <v>36.334325898443154</v>
      </c>
    </row>
    <row r="410" spans="2:5" x14ac:dyDescent="0.3">
      <c r="B410" s="457">
        <v>376</v>
      </c>
      <c r="C410" s="18">
        <f t="shared" si="20"/>
        <v>6.2666666666666666</v>
      </c>
      <c r="D410" s="18">
        <f t="shared" si="21"/>
        <v>21.856220515323322</v>
      </c>
      <c r="E410" s="18">
        <f t="shared" si="22"/>
        <v>36.334740534845253</v>
      </c>
    </row>
    <row r="411" spans="2:5" x14ac:dyDescent="0.3">
      <c r="B411" s="457">
        <v>377</v>
      </c>
      <c r="C411" s="18">
        <f t="shared" si="20"/>
        <v>6.2833333333333332</v>
      </c>
      <c r="D411" s="18">
        <f t="shared" si="21"/>
        <v>21.856266820647811</v>
      </c>
      <c r="E411" s="18">
        <f t="shared" si="22"/>
        <v>36.335148021700746</v>
      </c>
    </row>
    <row r="412" spans="2:5" x14ac:dyDescent="0.3">
      <c r="B412" s="457">
        <v>378</v>
      </c>
      <c r="C412" s="18">
        <f t="shared" si="20"/>
        <v>6.3</v>
      </c>
      <c r="D412" s="18">
        <f t="shared" si="21"/>
        <v>21.856312327532816</v>
      </c>
      <c r="E412" s="18">
        <f t="shared" si="22"/>
        <v>36.335548482288772</v>
      </c>
    </row>
    <row r="413" spans="2:5" x14ac:dyDescent="0.3">
      <c r="B413" s="457">
        <v>379</v>
      </c>
      <c r="C413" s="18">
        <f t="shared" si="20"/>
        <v>6.3166666666666664</v>
      </c>
      <c r="D413" s="18">
        <f t="shared" si="21"/>
        <v>21.856357049745771</v>
      </c>
      <c r="E413" s="18">
        <f t="shared" si="22"/>
        <v>36.335942037762777</v>
      </c>
    </row>
    <row r="414" spans="2:5" x14ac:dyDescent="0.3">
      <c r="B414" s="457">
        <v>380</v>
      </c>
      <c r="C414" s="18">
        <f t="shared" si="20"/>
        <v>6.333333333333333</v>
      </c>
      <c r="D414" s="18">
        <f t="shared" si="21"/>
        <v>21.856401000816721</v>
      </c>
      <c r="E414" s="18">
        <f t="shared" si="22"/>
        <v>36.336328807187151</v>
      </c>
    </row>
    <row r="415" spans="2:5" x14ac:dyDescent="0.3">
      <c r="B415" s="457">
        <v>381</v>
      </c>
      <c r="C415" s="18">
        <f t="shared" si="20"/>
        <v>6.35</v>
      </c>
      <c r="D415" s="18">
        <f t="shared" si="21"/>
        <v>21.856444194042417</v>
      </c>
      <c r="E415" s="18">
        <f t="shared" si="22"/>
        <v>36.336708907573282</v>
      </c>
    </row>
    <row r="416" spans="2:5" x14ac:dyDescent="0.3">
      <c r="B416" s="457">
        <v>382</v>
      </c>
      <c r="C416" s="18">
        <f t="shared" si="20"/>
        <v>6.3666666666666663</v>
      </c>
      <c r="D416" s="18">
        <f t="shared" si="21"/>
        <v>21.856486642490331</v>
      </c>
      <c r="E416" s="18">
        <f t="shared" si="22"/>
        <v>36.337082453914917</v>
      </c>
    </row>
    <row r="417" spans="2:5" x14ac:dyDescent="0.3">
      <c r="B417" s="457">
        <v>383</v>
      </c>
      <c r="C417" s="18">
        <f t="shared" si="20"/>
        <v>6.3833333333333337</v>
      </c>
      <c r="D417" s="18">
        <f t="shared" si="21"/>
        <v>21.856528359002613</v>
      </c>
      <c r="E417" s="18">
        <f t="shared" si="22"/>
        <v>36.337449559223018</v>
      </c>
    </row>
    <row r="418" spans="2:5" x14ac:dyDescent="0.3">
      <c r="B418" s="457">
        <v>384</v>
      </c>
      <c r="C418" s="18">
        <f t="shared" si="20"/>
        <v>6.4</v>
      </c>
      <c r="D418" s="18">
        <f t="shared" si="21"/>
        <v>21.856569356199984</v>
      </c>
      <c r="E418" s="18">
        <f t="shared" si="22"/>
        <v>36.337810334559848</v>
      </c>
    </row>
    <row r="419" spans="2:5" x14ac:dyDescent="0.3">
      <c r="B419" s="457">
        <v>385</v>
      </c>
      <c r="C419" s="18">
        <f t="shared" si="20"/>
        <v>6.416666666666667</v>
      </c>
      <c r="D419" s="18">
        <f t="shared" si="21"/>
        <v>21.856609646485531</v>
      </c>
      <c r="E419" s="18">
        <f t="shared" si="22"/>
        <v>36.338164889072672</v>
      </c>
    </row>
    <row r="420" spans="2:5" x14ac:dyDescent="0.3">
      <c r="B420" s="457">
        <v>386</v>
      </c>
      <c r="C420" s="18">
        <f t="shared" ref="C420:C483" si="23">B420/60</f>
        <v>6.4333333333333336</v>
      </c>
      <c r="D420" s="18">
        <f t="shared" ref="D420:D483" si="24">$I$32+$G$27/$A$32/$D$32*(1-EXP(-B420/($G$32*$H$32/$A$32/$D$32)))</f>
        <v>21.856649242048491</v>
      </c>
      <c r="E420" s="18">
        <f t="shared" ref="E420:E483" si="25">$I$32+$G$27/$A$32/$E$32*(1-EXP(-B420/($G$32*$H$32/$A$32/$D$32)))</f>
        <v>36.338513330026728</v>
      </c>
    </row>
    <row r="421" spans="2:5" x14ac:dyDescent="0.3">
      <c r="B421" s="457">
        <v>387</v>
      </c>
      <c r="C421" s="18">
        <f t="shared" si="23"/>
        <v>6.45</v>
      </c>
      <c r="D421" s="18">
        <f t="shared" si="24"/>
        <v>21.856688154867918</v>
      </c>
      <c r="E421" s="18">
        <f t="shared" si="25"/>
        <v>36.338855762837682</v>
      </c>
    </row>
    <row r="422" spans="2:5" x14ac:dyDescent="0.3">
      <c r="B422" s="457">
        <v>388</v>
      </c>
      <c r="C422" s="18">
        <f t="shared" si="23"/>
        <v>6.4666666666666668</v>
      </c>
      <c r="D422" s="18">
        <f t="shared" si="24"/>
        <v>21.856726396716311</v>
      </c>
      <c r="E422" s="18">
        <f t="shared" si="25"/>
        <v>36.339192291103529</v>
      </c>
    </row>
    <row r="423" spans="2:5" x14ac:dyDescent="0.3">
      <c r="B423" s="457">
        <v>389</v>
      </c>
      <c r="C423" s="18">
        <f t="shared" si="23"/>
        <v>6.4833333333333334</v>
      </c>
      <c r="D423" s="18">
        <f t="shared" si="24"/>
        <v>21.856763979163173</v>
      </c>
      <c r="E423" s="18">
        <f t="shared" si="25"/>
        <v>36.33952301663593</v>
      </c>
    </row>
    <row r="424" spans="2:5" x14ac:dyDescent="0.3">
      <c r="B424" s="457">
        <v>390</v>
      </c>
      <c r="C424" s="18">
        <f t="shared" si="23"/>
        <v>6.5</v>
      </c>
      <c r="D424" s="18">
        <f t="shared" si="24"/>
        <v>21.856800913578525</v>
      </c>
      <c r="E424" s="18">
        <f t="shared" si="25"/>
        <v>36.339848039491002</v>
      </c>
    </row>
    <row r="425" spans="2:5" x14ac:dyDescent="0.3">
      <c r="B425" s="457">
        <v>391</v>
      </c>
      <c r="C425" s="18">
        <f t="shared" si="23"/>
        <v>6.5166666666666666</v>
      </c>
      <c r="D425" s="18">
        <f t="shared" si="24"/>
        <v>21.856837211136323</v>
      </c>
      <c r="E425" s="18">
        <f t="shared" si="25"/>
        <v>36.340167457999627</v>
      </c>
    </row>
    <row r="426" spans="2:5" x14ac:dyDescent="0.3">
      <c r="B426" s="457">
        <v>392</v>
      </c>
      <c r="C426" s="18">
        <f t="shared" si="23"/>
        <v>6.5333333333333332</v>
      </c>
      <c r="D426" s="18">
        <f t="shared" si="24"/>
        <v>21.856872882817857</v>
      </c>
      <c r="E426" s="18">
        <f t="shared" si="25"/>
        <v>36.340481368797157</v>
      </c>
    </row>
    <row r="427" spans="2:5" x14ac:dyDescent="0.3">
      <c r="B427" s="457">
        <v>393</v>
      </c>
      <c r="C427" s="18">
        <f t="shared" si="23"/>
        <v>6.55</v>
      </c>
      <c r="D427" s="18">
        <f t="shared" si="24"/>
        <v>21.856907939415077</v>
      </c>
      <c r="E427" s="18">
        <f t="shared" si="25"/>
        <v>36.340789866852667</v>
      </c>
    </row>
    <row r="428" spans="2:5" x14ac:dyDescent="0.3">
      <c r="B428" s="457">
        <v>394</v>
      </c>
      <c r="C428" s="18">
        <f t="shared" si="23"/>
        <v>6.5666666666666664</v>
      </c>
      <c r="D428" s="18">
        <f t="shared" si="24"/>
        <v>21.856942391533828</v>
      </c>
      <c r="E428" s="18">
        <f t="shared" si="25"/>
        <v>36.341093045497686</v>
      </c>
    </row>
    <row r="429" spans="2:5" x14ac:dyDescent="0.3">
      <c r="B429" s="457">
        <v>395</v>
      </c>
      <c r="C429" s="18">
        <f t="shared" si="23"/>
        <v>6.583333333333333</v>
      </c>
      <c r="D429" s="18">
        <f t="shared" si="24"/>
        <v>21.856976249597096</v>
      </c>
      <c r="E429" s="18">
        <f t="shared" si="25"/>
        <v>36.34139099645445</v>
      </c>
    </row>
    <row r="430" spans="2:5" x14ac:dyDescent="0.3">
      <c r="B430" s="457">
        <v>396</v>
      </c>
      <c r="C430" s="18">
        <f t="shared" si="23"/>
        <v>6.6</v>
      </c>
      <c r="D430" s="18">
        <f t="shared" si="24"/>
        <v>21.857009523848138</v>
      </c>
      <c r="E430" s="18">
        <f t="shared" si="25"/>
        <v>36.341683809863625</v>
      </c>
    </row>
    <row r="431" spans="2:5" x14ac:dyDescent="0.3">
      <c r="B431" s="457">
        <v>397</v>
      </c>
      <c r="C431" s="18">
        <f t="shared" si="23"/>
        <v>6.6166666666666663</v>
      </c>
      <c r="D431" s="18">
        <f t="shared" si="24"/>
        <v>21.857042224353588</v>
      </c>
      <c r="E431" s="18">
        <f t="shared" si="25"/>
        <v>36.341971574311572</v>
      </c>
    </row>
    <row r="432" spans="2:5" x14ac:dyDescent="0.3">
      <c r="B432" s="457">
        <v>398</v>
      </c>
      <c r="C432" s="18">
        <f t="shared" si="23"/>
        <v>6.6333333333333337</v>
      </c>
      <c r="D432" s="18">
        <f t="shared" si="24"/>
        <v>21.8570743610065</v>
      </c>
      <c r="E432" s="18">
        <f t="shared" si="25"/>
        <v>36.342254376857184</v>
      </c>
    </row>
    <row r="433" spans="2:5" x14ac:dyDescent="0.3">
      <c r="B433" s="457">
        <v>399</v>
      </c>
      <c r="C433" s="18">
        <f t="shared" si="23"/>
        <v>6.65</v>
      </c>
      <c r="D433" s="18">
        <f t="shared" si="24"/>
        <v>21.857105943529341</v>
      </c>
      <c r="E433" s="18">
        <f t="shared" si="25"/>
        <v>36.342532303058206</v>
      </c>
    </row>
    <row r="434" spans="2:5" x14ac:dyDescent="0.3">
      <c r="B434" s="457">
        <v>400</v>
      </c>
      <c r="C434" s="18">
        <f t="shared" si="23"/>
        <v>6.666666666666667</v>
      </c>
      <c r="D434" s="18">
        <f t="shared" si="24"/>
        <v>21.857136981476941</v>
      </c>
      <c r="E434" s="18">
        <f t="shared" si="25"/>
        <v>36.342805436997097</v>
      </c>
    </row>
    <row r="435" spans="2:5" x14ac:dyDescent="0.3">
      <c r="B435" s="457">
        <v>401</v>
      </c>
      <c r="C435" s="18">
        <f t="shared" si="23"/>
        <v>6.6833333333333336</v>
      </c>
      <c r="D435" s="18">
        <f t="shared" si="24"/>
        <v>21.857167484239376</v>
      </c>
      <c r="E435" s="18">
        <f t="shared" si="25"/>
        <v>36.343073861306507</v>
      </c>
    </row>
    <row r="436" spans="2:5" x14ac:dyDescent="0.3">
      <c r="B436" s="457">
        <v>402</v>
      </c>
      <c r="C436" s="18">
        <f t="shared" si="23"/>
        <v>6.7</v>
      </c>
      <c r="D436" s="18">
        <f t="shared" si="24"/>
        <v>21.857197461044802</v>
      </c>
      <c r="E436" s="18">
        <f t="shared" si="25"/>
        <v>36.34333765719424</v>
      </c>
    </row>
    <row r="437" spans="2:5" x14ac:dyDescent="0.3">
      <c r="B437" s="457">
        <v>403</v>
      </c>
      <c r="C437" s="18">
        <f t="shared" si="23"/>
        <v>6.7166666666666668</v>
      </c>
      <c r="D437" s="18">
        <f t="shared" si="24"/>
        <v>21.857226920962255</v>
      </c>
      <c r="E437" s="18">
        <f t="shared" si="25"/>
        <v>36.343596904467859</v>
      </c>
    </row>
    <row r="438" spans="2:5" x14ac:dyDescent="0.3">
      <c r="B438" s="457">
        <v>404</v>
      </c>
      <c r="C438" s="18">
        <f t="shared" si="23"/>
        <v>6.7333333333333334</v>
      </c>
      <c r="D438" s="18">
        <f t="shared" si="24"/>
        <v>21.857255872904407</v>
      </c>
      <c r="E438" s="18">
        <f t="shared" si="25"/>
        <v>36.343851681558789</v>
      </c>
    </row>
    <row r="439" spans="2:5" x14ac:dyDescent="0.3">
      <c r="B439" s="457">
        <v>405</v>
      </c>
      <c r="C439" s="18">
        <f t="shared" si="23"/>
        <v>6.75</v>
      </c>
      <c r="D439" s="18">
        <f t="shared" si="24"/>
        <v>21.857284325630239</v>
      </c>
      <c r="E439" s="18">
        <f t="shared" si="25"/>
        <v>36.344102065546096</v>
      </c>
    </row>
    <row r="440" spans="2:5" x14ac:dyDescent="0.3">
      <c r="B440" s="457">
        <v>406</v>
      </c>
      <c r="C440" s="18">
        <f t="shared" si="23"/>
        <v>6.7666666666666666</v>
      </c>
      <c r="D440" s="18">
        <f t="shared" si="24"/>
        <v>21.857312287747696</v>
      </c>
      <c r="E440" s="18">
        <f t="shared" si="25"/>
        <v>36.344348132179732</v>
      </c>
    </row>
    <row r="441" spans="2:5" x14ac:dyDescent="0.3">
      <c r="B441" s="457">
        <v>407</v>
      </c>
      <c r="C441" s="18">
        <f t="shared" si="23"/>
        <v>6.7833333333333332</v>
      </c>
      <c r="D441" s="18">
        <f t="shared" si="24"/>
        <v>21.857339767716311</v>
      </c>
      <c r="E441" s="18">
        <f t="shared" si="25"/>
        <v>36.344589955903558</v>
      </c>
    </row>
    <row r="442" spans="2:5" x14ac:dyDescent="0.3">
      <c r="B442" s="457">
        <v>408</v>
      </c>
      <c r="C442" s="18">
        <f t="shared" si="23"/>
        <v>6.8</v>
      </c>
      <c r="D442" s="18">
        <f t="shared" si="24"/>
        <v>21.857366773849744</v>
      </c>
      <c r="E442" s="18">
        <f t="shared" si="25"/>
        <v>36.344827609877754</v>
      </c>
    </row>
    <row r="443" spans="2:5" x14ac:dyDescent="0.3">
      <c r="B443" s="457">
        <v>409</v>
      </c>
      <c r="C443" s="18">
        <f t="shared" si="23"/>
        <v>6.8166666666666664</v>
      </c>
      <c r="D443" s="18">
        <f t="shared" si="24"/>
        <v>21.857393314318298</v>
      </c>
      <c r="E443" s="18">
        <f t="shared" si="25"/>
        <v>36.345061166001017</v>
      </c>
    </row>
    <row r="444" spans="2:5" x14ac:dyDescent="0.3">
      <c r="B444" s="457">
        <v>410</v>
      </c>
      <c r="C444" s="18">
        <f t="shared" si="23"/>
        <v>6.833333333333333</v>
      </c>
      <c r="D444" s="18">
        <f t="shared" si="24"/>
        <v>21.8574193971514</v>
      </c>
      <c r="E444" s="18">
        <f t="shared" si="25"/>
        <v>36.345290694932324</v>
      </c>
    </row>
    <row r="445" spans="2:5" x14ac:dyDescent="0.3">
      <c r="B445" s="457">
        <v>411</v>
      </c>
      <c r="C445" s="18">
        <f t="shared" si="23"/>
        <v>6.85</v>
      </c>
      <c r="D445" s="18">
        <f t="shared" si="24"/>
        <v>21.857445030240029</v>
      </c>
      <c r="E445" s="18">
        <f t="shared" si="25"/>
        <v>36.345516266112249</v>
      </c>
    </row>
    <row r="446" spans="2:5" x14ac:dyDescent="0.3">
      <c r="B446" s="457">
        <v>412</v>
      </c>
      <c r="C446" s="18">
        <f t="shared" si="23"/>
        <v>6.8666666666666663</v>
      </c>
      <c r="D446" s="18">
        <f t="shared" si="24"/>
        <v>21.857470221339096</v>
      </c>
      <c r="E446" s="18">
        <f t="shared" si="25"/>
        <v>36.345737947784031</v>
      </c>
    </row>
    <row r="447" spans="2:5" x14ac:dyDescent="0.3">
      <c r="B447" s="457">
        <v>413</v>
      </c>
      <c r="C447" s="18">
        <f t="shared" si="23"/>
        <v>6.8833333333333337</v>
      </c>
      <c r="D447" s="18">
        <f t="shared" si="24"/>
        <v>21.857494978069795</v>
      </c>
      <c r="E447" s="18">
        <f t="shared" si="25"/>
        <v>36.345955807014185</v>
      </c>
    </row>
    <row r="448" spans="2:5" x14ac:dyDescent="0.3">
      <c r="B448" s="457">
        <v>414</v>
      </c>
      <c r="C448" s="18">
        <f t="shared" si="23"/>
        <v>6.9</v>
      </c>
      <c r="D448" s="18">
        <f t="shared" si="24"/>
        <v>21.857519307921908</v>
      </c>
      <c r="E448" s="18">
        <f t="shared" si="25"/>
        <v>36.346169909712813</v>
      </c>
    </row>
    <row r="449" spans="2:5" x14ac:dyDescent="0.3">
      <c r="B449" s="457">
        <v>415</v>
      </c>
      <c r="C449" s="18">
        <f t="shared" si="23"/>
        <v>6.916666666666667</v>
      </c>
      <c r="D449" s="18">
        <f t="shared" si="24"/>
        <v>21.85754321825608</v>
      </c>
      <c r="E449" s="18">
        <f t="shared" si="25"/>
        <v>36.346380320653509</v>
      </c>
    </row>
    <row r="450" spans="2:5" x14ac:dyDescent="0.3">
      <c r="B450" s="457">
        <v>416</v>
      </c>
      <c r="C450" s="18">
        <f t="shared" si="23"/>
        <v>6.9333333333333336</v>
      </c>
      <c r="D450" s="18">
        <f t="shared" si="24"/>
        <v>21.857566716306025</v>
      </c>
      <c r="E450" s="18">
        <f t="shared" si="25"/>
        <v>36.346587103493022</v>
      </c>
    </row>
    <row r="451" spans="2:5" x14ac:dyDescent="0.3">
      <c r="B451" s="457">
        <v>417</v>
      </c>
      <c r="C451" s="18">
        <f t="shared" si="23"/>
        <v>6.95</v>
      </c>
      <c r="D451" s="18">
        <f t="shared" si="24"/>
        <v>21.85758980918073</v>
      </c>
      <c r="E451" s="18">
        <f t="shared" si="25"/>
        <v>36.346790320790433</v>
      </c>
    </row>
    <row r="452" spans="2:5" x14ac:dyDescent="0.3">
      <c r="B452" s="457">
        <v>418</v>
      </c>
      <c r="C452" s="18">
        <f t="shared" si="23"/>
        <v>6.9666666666666668</v>
      </c>
      <c r="D452" s="18">
        <f t="shared" si="24"/>
        <v>21.857612503866605</v>
      </c>
      <c r="E452" s="18">
        <f t="shared" si="25"/>
        <v>36.346990034026135</v>
      </c>
    </row>
    <row r="453" spans="2:5" x14ac:dyDescent="0.3">
      <c r="B453" s="457">
        <v>419</v>
      </c>
      <c r="C453" s="18">
        <f t="shared" si="23"/>
        <v>6.9833333333333334</v>
      </c>
      <c r="D453" s="18">
        <f t="shared" si="24"/>
        <v>21.857634807229594</v>
      </c>
      <c r="E453" s="18">
        <f t="shared" si="25"/>
        <v>36.347186303620418</v>
      </c>
    </row>
    <row r="454" spans="2:5" x14ac:dyDescent="0.3">
      <c r="B454" s="457">
        <v>420</v>
      </c>
      <c r="C454" s="18">
        <f t="shared" si="23"/>
        <v>7</v>
      </c>
      <c r="D454" s="18">
        <f t="shared" si="24"/>
        <v>21.857656726017247</v>
      </c>
      <c r="E454" s="18">
        <f t="shared" si="25"/>
        <v>36.347379188951763</v>
      </c>
    </row>
    <row r="455" spans="2:5" x14ac:dyDescent="0.3">
      <c r="B455" s="457">
        <v>421</v>
      </c>
      <c r="C455" s="18">
        <f t="shared" si="23"/>
        <v>7.0166666666666666</v>
      </c>
      <c r="D455" s="18">
        <f t="shared" si="24"/>
        <v>21.85767826686077</v>
      </c>
      <c r="E455" s="18">
        <f t="shared" si="25"/>
        <v>36.347568748374776</v>
      </c>
    </row>
    <row r="456" spans="2:5" x14ac:dyDescent="0.3">
      <c r="B456" s="457">
        <v>422</v>
      </c>
      <c r="C456" s="18">
        <f t="shared" si="23"/>
        <v>7.0333333333333332</v>
      </c>
      <c r="D456" s="18">
        <f t="shared" si="24"/>
        <v>21.857699436277031</v>
      </c>
      <c r="E456" s="18">
        <f t="shared" si="25"/>
        <v>36.347755039237853</v>
      </c>
    </row>
    <row r="457" spans="2:5" x14ac:dyDescent="0.3">
      <c r="B457" s="457">
        <v>423</v>
      </c>
      <c r="C457" s="18">
        <f t="shared" si="23"/>
        <v>7.05</v>
      </c>
      <c r="D457" s="18">
        <f t="shared" si="24"/>
        <v>21.857720240670517</v>
      </c>
      <c r="E457" s="18">
        <f t="shared" si="25"/>
        <v>36.347938117900568</v>
      </c>
    </row>
    <row r="458" spans="2:5" x14ac:dyDescent="0.3">
      <c r="B458" s="457">
        <v>424</v>
      </c>
      <c r="C458" s="18">
        <f t="shared" si="23"/>
        <v>7.0666666666666664</v>
      </c>
      <c r="D458" s="18">
        <f t="shared" si="24"/>
        <v>21.857740686335301</v>
      </c>
      <c r="E458" s="18">
        <f t="shared" si="25"/>
        <v>36.348118039750645</v>
      </c>
    </row>
    <row r="459" spans="2:5" x14ac:dyDescent="0.3">
      <c r="B459" s="457">
        <v>425</v>
      </c>
      <c r="C459" s="18">
        <f t="shared" si="23"/>
        <v>7.083333333333333</v>
      </c>
      <c r="D459" s="18">
        <f t="shared" si="24"/>
        <v>21.857760779456907</v>
      </c>
      <c r="E459" s="18">
        <f t="shared" si="25"/>
        <v>36.348294859220786</v>
      </c>
    </row>
    <row r="460" spans="2:5" x14ac:dyDescent="0.3">
      <c r="B460" s="457">
        <v>426</v>
      </c>
      <c r="C460" s="18">
        <f t="shared" si="23"/>
        <v>7.1</v>
      </c>
      <c r="D460" s="18">
        <f t="shared" si="24"/>
        <v>21.857780526114219</v>
      </c>
      <c r="E460" s="18">
        <f t="shared" si="25"/>
        <v>36.348468629805126</v>
      </c>
    </row>
    <row r="461" spans="2:5" x14ac:dyDescent="0.3">
      <c r="B461" s="457">
        <v>427</v>
      </c>
      <c r="C461" s="18">
        <f t="shared" si="23"/>
        <v>7.1166666666666663</v>
      </c>
      <c r="D461" s="18">
        <f t="shared" si="24"/>
        <v>21.857799932281292</v>
      </c>
      <c r="E461" s="18">
        <f t="shared" si="25"/>
        <v>36.348639404075385</v>
      </c>
    </row>
    <row r="462" spans="2:5" x14ac:dyDescent="0.3">
      <c r="B462" s="457">
        <v>428</v>
      </c>
      <c r="C462" s="18">
        <f t="shared" si="23"/>
        <v>7.1333333333333337</v>
      </c>
      <c r="D462" s="18">
        <f t="shared" si="24"/>
        <v>21.857819003829182</v>
      </c>
      <c r="E462" s="18">
        <f t="shared" si="25"/>
        <v>36.348807233696789</v>
      </c>
    </row>
    <row r="463" spans="2:5" x14ac:dyDescent="0.3">
      <c r="B463" s="457">
        <v>429</v>
      </c>
      <c r="C463" s="18">
        <f t="shared" si="23"/>
        <v>7.15</v>
      </c>
      <c r="D463" s="18">
        <f t="shared" si="24"/>
        <v>21.857837746527697</v>
      </c>
      <c r="E463" s="18">
        <f t="shared" si="25"/>
        <v>36.348972169443726</v>
      </c>
    </row>
    <row r="464" spans="2:5" x14ac:dyDescent="0.3">
      <c r="B464" s="457">
        <v>430</v>
      </c>
      <c r="C464" s="18">
        <f t="shared" si="23"/>
        <v>7.166666666666667</v>
      </c>
      <c r="D464" s="18">
        <f t="shared" si="24"/>
        <v>21.857856166047167</v>
      </c>
      <c r="E464" s="18">
        <f t="shared" si="25"/>
        <v>36.349134261215063</v>
      </c>
    </row>
    <row r="465" spans="2:5" x14ac:dyDescent="0.3">
      <c r="B465" s="457">
        <v>431</v>
      </c>
      <c r="C465" s="18">
        <f t="shared" si="23"/>
        <v>7.1833333333333336</v>
      </c>
      <c r="D465" s="18">
        <f t="shared" si="24"/>
        <v>21.857874267960145</v>
      </c>
      <c r="E465" s="18">
        <f t="shared" si="25"/>
        <v>36.349293558049276</v>
      </c>
    </row>
    <row r="466" spans="2:5" x14ac:dyDescent="0.3">
      <c r="B466" s="457">
        <v>432</v>
      </c>
      <c r="C466" s="18">
        <f t="shared" si="23"/>
        <v>7.2</v>
      </c>
      <c r="D466" s="18">
        <f t="shared" si="24"/>
        <v>21.857892057743101</v>
      </c>
      <c r="E466" s="18">
        <f t="shared" si="25"/>
        <v>36.349450108139273</v>
      </c>
    </row>
    <row r="467" spans="2:5" x14ac:dyDescent="0.3">
      <c r="B467" s="457">
        <v>433</v>
      </c>
      <c r="C467" s="18">
        <f t="shared" si="23"/>
        <v>7.2166666666666668</v>
      </c>
      <c r="D467" s="18">
        <f t="shared" si="24"/>
        <v>21.857909540778063</v>
      </c>
      <c r="E467" s="18">
        <f t="shared" si="25"/>
        <v>36.34960395884697</v>
      </c>
    </row>
    <row r="468" spans="2:5" x14ac:dyDescent="0.3">
      <c r="B468" s="457">
        <v>434</v>
      </c>
      <c r="C468" s="18">
        <f t="shared" si="23"/>
        <v>7.2333333333333334</v>
      </c>
      <c r="D468" s="18">
        <f t="shared" si="24"/>
        <v>21.857926722354275</v>
      </c>
      <c r="E468" s="18">
        <f t="shared" si="25"/>
        <v>36.349755156717634</v>
      </c>
    </row>
    <row r="469" spans="2:5" x14ac:dyDescent="0.3">
      <c r="B469" s="457">
        <v>435</v>
      </c>
      <c r="C469" s="18">
        <f t="shared" si="23"/>
        <v>7.25</v>
      </c>
      <c r="D469" s="18">
        <f t="shared" si="24"/>
        <v>21.857943607669768</v>
      </c>
      <c r="E469" s="18">
        <f t="shared" si="25"/>
        <v>36.34990374749394</v>
      </c>
    </row>
    <row r="470" spans="2:5" x14ac:dyDescent="0.3">
      <c r="B470" s="457">
        <v>436</v>
      </c>
      <c r="C470" s="18">
        <f t="shared" si="23"/>
        <v>7.2666666666666666</v>
      </c>
      <c r="D470" s="18">
        <f t="shared" si="24"/>
        <v>21.857960201832938</v>
      </c>
      <c r="E470" s="18">
        <f t="shared" si="25"/>
        <v>36.350049776129843</v>
      </c>
    </row>
    <row r="471" spans="2:5" x14ac:dyDescent="0.3">
      <c r="B471" s="457">
        <v>437</v>
      </c>
      <c r="C471" s="18">
        <f t="shared" si="23"/>
        <v>7.2833333333333332</v>
      </c>
      <c r="D471" s="18">
        <f t="shared" si="24"/>
        <v>21.857976509864109</v>
      </c>
      <c r="E471" s="18">
        <f t="shared" si="25"/>
        <v>36.350193286804149</v>
      </c>
    </row>
    <row r="472" spans="2:5" x14ac:dyDescent="0.3">
      <c r="B472" s="457">
        <v>438</v>
      </c>
      <c r="C472" s="18">
        <f t="shared" si="23"/>
        <v>7.3</v>
      </c>
      <c r="D472" s="18">
        <f t="shared" si="24"/>
        <v>21.857992536697033</v>
      </c>
      <c r="E472" s="18">
        <f t="shared" si="25"/>
        <v>36.35033432293389</v>
      </c>
    </row>
    <row r="473" spans="2:5" x14ac:dyDescent="0.3">
      <c r="B473" s="457">
        <v>439</v>
      </c>
      <c r="C473" s="18">
        <f t="shared" si="23"/>
        <v>7.3166666666666664</v>
      </c>
      <c r="D473" s="18">
        <f t="shared" si="24"/>
        <v>21.858008287180393</v>
      </c>
      <c r="E473" s="18">
        <f t="shared" si="25"/>
        <v>36.350472927187468</v>
      </c>
    </row>
    <row r="474" spans="2:5" x14ac:dyDescent="0.3">
      <c r="B474" s="457">
        <v>440</v>
      </c>
      <c r="C474" s="18">
        <f t="shared" si="23"/>
        <v>7.333333333333333</v>
      </c>
      <c r="D474" s="18">
        <f t="shared" si="24"/>
        <v>21.858023766079267</v>
      </c>
      <c r="E474" s="18">
        <f t="shared" si="25"/>
        <v>36.350609141497557</v>
      </c>
    </row>
    <row r="475" spans="2:5" x14ac:dyDescent="0.3">
      <c r="B475" s="457">
        <v>441</v>
      </c>
      <c r="C475" s="18">
        <f t="shared" si="23"/>
        <v>7.35</v>
      </c>
      <c r="D475" s="18">
        <f t="shared" si="24"/>
        <v>21.858038978076568</v>
      </c>
      <c r="E475" s="18">
        <f t="shared" si="25"/>
        <v>36.350743007073788</v>
      </c>
    </row>
    <row r="476" spans="2:5" x14ac:dyDescent="0.3">
      <c r="B476" s="457">
        <v>442</v>
      </c>
      <c r="C476" s="18">
        <f t="shared" si="23"/>
        <v>7.3666666666666663</v>
      </c>
      <c r="D476" s="18">
        <f t="shared" si="24"/>
        <v>21.858053927774456</v>
      </c>
      <c r="E476" s="18">
        <f t="shared" si="25"/>
        <v>36.350874564415207</v>
      </c>
    </row>
    <row r="477" spans="2:5" x14ac:dyDescent="0.3">
      <c r="B477" s="457">
        <v>443</v>
      </c>
      <c r="C477" s="18">
        <f t="shared" si="23"/>
        <v>7.3833333333333337</v>
      </c>
      <c r="D477" s="18">
        <f t="shared" si="24"/>
        <v>21.858068619695743</v>
      </c>
      <c r="E477" s="18">
        <f t="shared" si="25"/>
        <v>36.351003853322553</v>
      </c>
    </row>
    <row r="478" spans="2:5" x14ac:dyDescent="0.3">
      <c r="B478" s="457">
        <v>444</v>
      </c>
      <c r="C478" s="18">
        <f t="shared" si="23"/>
        <v>7.4</v>
      </c>
      <c r="D478" s="18">
        <f t="shared" si="24"/>
        <v>21.85808305828526</v>
      </c>
      <c r="E478" s="18">
        <f t="shared" si="25"/>
        <v>36.351130912910278</v>
      </c>
    </row>
    <row r="479" spans="2:5" x14ac:dyDescent="0.3">
      <c r="B479" s="457">
        <v>445</v>
      </c>
      <c r="C479" s="18">
        <f t="shared" si="23"/>
        <v>7.416666666666667</v>
      </c>
      <c r="D479" s="18">
        <f t="shared" si="24"/>
        <v>21.858097247911179</v>
      </c>
      <c r="E479" s="18">
        <f t="shared" si="25"/>
        <v>36.351255781618377</v>
      </c>
    </row>
    <row r="480" spans="2:5" x14ac:dyDescent="0.3">
      <c r="B480" s="457">
        <v>446</v>
      </c>
      <c r="C480" s="18">
        <f t="shared" si="23"/>
        <v>7.4333333333333336</v>
      </c>
      <c r="D480" s="18">
        <f t="shared" si="24"/>
        <v>21.858111192866367</v>
      </c>
      <c r="E480" s="18">
        <f t="shared" si="25"/>
        <v>36.351378497224033</v>
      </c>
    </row>
    <row r="481" spans="2:5" x14ac:dyDescent="0.3">
      <c r="B481" s="457">
        <v>447</v>
      </c>
      <c r="C481" s="18">
        <f t="shared" si="23"/>
        <v>7.45</v>
      </c>
      <c r="D481" s="18">
        <f t="shared" si="24"/>
        <v>21.858124897369667</v>
      </c>
      <c r="E481" s="18">
        <f t="shared" si="25"/>
        <v>36.351499096853061</v>
      </c>
    </row>
    <row r="482" spans="2:5" x14ac:dyDescent="0.3">
      <c r="B482" s="457">
        <v>448</v>
      </c>
      <c r="C482" s="18">
        <f t="shared" si="23"/>
        <v>7.4666666666666668</v>
      </c>
      <c r="D482" s="18">
        <f t="shared" si="24"/>
        <v>21.858138365567168</v>
      </c>
      <c r="E482" s="18">
        <f t="shared" si="25"/>
        <v>36.351617616991078</v>
      </c>
    </row>
    <row r="483" spans="2:5" x14ac:dyDescent="0.3">
      <c r="B483" s="457">
        <v>449</v>
      </c>
      <c r="C483" s="18">
        <f t="shared" si="23"/>
        <v>7.4833333333333334</v>
      </c>
      <c r="D483" s="18">
        <f t="shared" si="24"/>
        <v>21.858151601533478</v>
      </c>
      <c r="E483" s="18">
        <f t="shared" si="25"/>
        <v>36.351734093494606</v>
      </c>
    </row>
    <row r="484" spans="2:5" x14ac:dyDescent="0.3">
      <c r="B484" s="457">
        <v>450</v>
      </c>
      <c r="C484" s="18">
        <f t="shared" ref="C484:C547" si="26">B484/60</f>
        <v>7.5</v>
      </c>
      <c r="D484" s="18">
        <f t="shared" ref="D484:D547" si="27">$I$32+$G$27/$A$32/$D$32*(1-EXP(-B484/($G$32*$H$32/$A$32/$D$32)))</f>
        <v>21.858164609272944</v>
      </c>
      <c r="E484" s="18">
        <f t="shared" ref="E484:E547" si="28">$I$32+$G$27/$A$32/$E$32*(1-EXP(-B484/($G$32*$H$32/$A$32/$D$32)))</f>
        <v>36.351848561601898</v>
      </c>
    </row>
    <row r="485" spans="2:5" x14ac:dyDescent="0.3">
      <c r="B485" s="457">
        <v>451</v>
      </c>
      <c r="C485" s="18">
        <f t="shared" si="26"/>
        <v>7.5166666666666666</v>
      </c>
      <c r="D485" s="18">
        <f t="shared" si="27"/>
        <v>21.858177392720862</v>
      </c>
      <c r="E485" s="18">
        <f t="shared" si="28"/>
        <v>36.35196105594359</v>
      </c>
    </row>
    <row r="486" spans="2:5" x14ac:dyDescent="0.3">
      <c r="B486" s="457">
        <v>452</v>
      </c>
      <c r="C486" s="18">
        <f t="shared" si="26"/>
        <v>7.5333333333333332</v>
      </c>
      <c r="D486" s="18">
        <f t="shared" si="27"/>
        <v>21.858189955744681</v>
      </c>
      <c r="E486" s="18">
        <f t="shared" si="28"/>
        <v>36.352071610553189</v>
      </c>
    </row>
    <row r="487" spans="2:5" x14ac:dyDescent="0.3">
      <c r="B487" s="457">
        <v>453</v>
      </c>
      <c r="C487" s="18">
        <f t="shared" si="26"/>
        <v>7.55</v>
      </c>
      <c r="D487" s="18">
        <f t="shared" si="27"/>
        <v>21.858202302145152</v>
      </c>
      <c r="E487" s="18">
        <f t="shared" si="28"/>
        <v>36.352180258877354</v>
      </c>
    </row>
    <row r="488" spans="2:5" x14ac:dyDescent="0.3">
      <c r="B488" s="457">
        <v>454</v>
      </c>
      <c r="C488" s="18">
        <f t="shared" si="26"/>
        <v>7.5666666666666664</v>
      </c>
      <c r="D488" s="18">
        <f t="shared" si="27"/>
        <v>21.858214435657501</v>
      </c>
      <c r="E488" s="18">
        <f t="shared" si="28"/>
        <v>36.352287033786027</v>
      </c>
    </row>
    <row r="489" spans="2:5" x14ac:dyDescent="0.3">
      <c r="B489" s="457">
        <v>455</v>
      </c>
      <c r="C489" s="18">
        <f t="shared" si="26"/>
        <v>7.583333333333333</v>
      </c>
      <c r="D489" s="18">
        <f t="shared" si="27"/>
        <v>21.858226359952543</v>
      </c>
      <c r="E489" s="18">
        <f t="shared" si="28"/>
        <v>36.352391967582392</v>
      </c>
    </row>
    <row r="490" spans="2:5" x14ac:dyDescent="0.3">
      <c r="B490" s="457">
        <v>456</v>
      </c>
      <c r="C490" s="18">
        <f t="shared" si="26"/>
        <v>7.6</v>
      </c>
      <c r="D490" s="18">
        <f t="shared" si="27"/>
        <v>21.858238078637797</v>
      </c>
      <c r="E490" s="18">
        <f t="shared" si="28"/>
        <v>36.35249509201261</v>
      </c>
    </row>
    <row r="491" spans="2:5" x14ac:dyDescent="0.3">
      <c r="B491" s="457">
        <v>457</v>
      </c>
      <c r="C491" s="18">
        <f t="shared" si="26"/>
        <v>7.6166666666666663</v>
      </c>
      <c r="D491" s="18">
        <f t="shared" si="27"/>
        <v>21.858249595258574</v>
      </c>
      <c r="E491" s="18">
        <f t="shared" si="28"/>
        <v>36.352596438275455</v>
      </c>
    </row>
    <row r="492" spans="2:5" x14ac:dyDescent="0.3">
      <c r="B492" s="457">
        <v>458</v>
      </c>
      <c r="C492" s="18">
        <f t="shared" si="26"/>
        <v>7.6333333333333337</v>
      </c>
      <c r="D492" s="18">
        <f t="shared" si="27"/>
        <v>21.858260913299063</v>
      </c>
      <c r="E492" s="18">
        <f t="shared" si="28"/>
        <v>36.352696037031762</v>
      </c>
    </row>
    <row r="493" spans="2:5" x14ac:dyDescent="0.3">
      <c r="B493" s="457">
        <v>459</v>
      </c>
      <c r="C493" s="18">
        <f t="shared" si="26"/>
        <v>7.65</v>
      </c>
      <c r="D493" s="18">
        <f t="shared" si="27"/>
        <v>21.858272036183369</v>
      </c>
      <c r="E493" s="18">
        <f t="shared" si="28"/>
        <v>36.352793918413639</v>
      </c>
    </row>
    <row r="494" spans="2:5" x14ac:dyDescent="0.3">
      <c r="B494" s="457">
        <v>460</v>
      </c>
      <c r="C494" s="18">
        <f t="shared" si="26"/>
        <v>7.666666666666667</v>
      </c>
      <c r="D494" s="18">
        <f t="shared" si="27"/>
        <v>21.858282967276555</v>
      </c>
      <c r="E494" s="18">
        <f t="shared" si="28"/>
        <v>36.352890112033677</v>
      </c>
    </row>
    <row r="495" spans="2:5" x14ac:dyDescent="0.3">
      <c r="B495" s="457">
        <v>461</v>
      </c>
      <c r="C495" s="18">
        <f t="shared" si="26"/>
        <v>7.6833333333333336</v>
      </c>
      <c r="D495" s="18">
        <f t="shared" si="27"/>
        <v>21.858293709885661</v>
      </c>
      <c r="E495" s="18">
        <f t="shared" si="28"/>
        <v>36.352984646993818</v>
      </c>
    </row>
    <row r="496" spans="2:5" x14ac:dyDescent="0.3">
      <c r="B496" s="457">
        <v>462</v>
      </c>
      <c r="C496" s="18">
        <f t="shared" si="26"/>
        <v>7.7</v>
      </c>
      <c r="D496" s="18">
        <f t="shared" si="27"/>
        <v>21.858304267260706</v>
      </c>
      <c r="E496" s="18">
        <f t="shared" si="28"/>
        <v>36.353077551894224</v>
      </c>
    </row>
    <row r="497" spans="2:5" x14ac:dyDescent="0.3">
      <c r="B497" s="457">
        <v>463</v>
      </c>
      <c r="C497" s="18">
        <f t="shared" si="26"/>
        <v>7.7166666666666668</v>
      </c>
      <c r="D497" s="18">
        <f t="shared" si="27"/>
        <v>21.858314642595673</v>
      </c>
      <c r="E497" s="18">
        <f t="shared" si="28"/>
        <v>36.353168854841911</v>
      </c>
    </row>
    <row r="498" spans="2:5" x14ac:dyDescent="0.3">
      <c r="B498" s="457">
        <v>464</v>
      </c>
      <c r="C498" s="18">
        <f t="shared" si="26"/>
        <v>7.7333333333333334</v>
      </c>
      <c r="D498" s="18">
        <f t="shared" si="27"/>
        <v>21.858324839029457</v>
      </c>
      <c r="E498" s="18">
        <f t="shared" si="28"/>
        <v>36.353258583459223</v>
      </c>
    </row>
    <row r="499" spans="2:5" x14ac:dyDescent="0.3">
      <c r="B499" s="457">
        <v>465</v>
      </c>
      <c r="C499" s="18">
        <f t="shared" si="26"/>
        <v>7.75</v>
      </c>
      <c r="D499" s="18">
        <f t="shared" si="27"/>
        <v>21.858334859646845</v>
      </c>
      <c r="E499" s="18">
        <f t="shared" si="28"/>
        <v>36.353346764892237</v>
      </c>
    </row>
    <row r="500" spans="2:5" x14ac:dyDescent="0.3">
      <c r="B500" s="457">
        <v>466</v>
      </c>
      <c r="C500" s="18">
        <f t="shared" si="26"/>
        <v>7.7666666666666666</v>
      </c>
      <c r="D500" s="18">
        <f t="shared" si="27"/>
        <v>21.858344707479425</v>
      </c>
      <c r="E500" s="18">
        <f t="shared" si="28"/>
        <v>36.353433425818935</v>
      </c>
    </row>
    <row r="501" spans="2:5" x14ac:dyDescent="0.3">
      <c r="B501" s="457">
        <v>467</v>
      </c>
      <c r="C501" s="18">
        <f t="shared" si="26"/>
        <v>7.7833333333333332</v>
      </c>
      <c r="D501" s="18">
        <f t="shared" si="27"/>
        <v>21.858354385506512</v>
      </c>
      <c r="E501" s="18">
        <f t="shared" si="28"/>
        <v>36.35351859245732</v>
      </c>
    </row>
    <row r="502" spans="2:5" x14ac:dyDescent="0.3">
      <c r="B502" s="457">
        <v>468</v>
      </c>
      <c r="C502" s="18">
        <f t="shared" si="26"/>
        <v>7.8</v>
      </c>
      <c r="D502" s="18">
        <f t="shared" si="27"/>
        <v>21.858363896656055</v>
      </c>
      <c r="E502" s="18">
        <f t="shared" si="28"/>
        <v>36.353602290573292</v>
      </c>
    </row>
    <row r="503" spans="2:5" x14ac:dyDescent="0.3">
      <c r="B503" s="457">
        <v>469</v>
      </c>
      <c r="C503" s="18">
        <f t="shared" si="26"/>
        <v>7.8166666666666664</v>
      </c>
      <c r="D503" s="18">
        <f t="shared" si="27"/>
        <v>21.858373243805509</v>
      </c>
      <c r="E503" s="18">
        <f t="shared" si="28"/>
        <v>36.353684545488477</v>
      </c>
    </row>
    <row r="504" spans="2:5" x14ac:dyDescent="0.3">
      <c r="B504" s="457">
        <v>470</v>
      </c>
      <c r="C504" s="18">
        <f t="shared" si="26"/>
        <v>7.833333333333333</v>
      </c>
      <c r="D504" s="18">
        <f t="shared" si="27"/>
        <v>21.858382429782715</v>
      </c>
      <c r="E504" s="18">
        <f t="shared" si="28"/>
        <v>36.353765382087886</v>
      </c>
    </row>
    <row r="505" spans="2:5" x14ac:dyDescent="0.3">
      <c r="B505" s="457">
        <v>471</v>
      </c>
      <c r="C505" s="18">
        <f t="shared" si="26"/>
        <v>7.85</v>
      </c>
      <c r="D505" s="18">
        <f t="shared" si="27"/>
        <v>21.858391457366757</v>
      </c>
      <c r="E505" s="18">
        <f t="shared" si="28"/>
        <v>36.353844824827448</v>
      </c>
    </row>
    <row r="506" spans="2:5" x14ac:dyDescent="0.3">
      <c r="B506" s="457">
        <v>472</v>
      </c>
      <c r="C506" s="18">
        <f t="shared" si="26"/>
        <v>7.8666666666666663</v>
      </c>
      <c r="D506" s="18">
        <f t="shared" si="27"/>
        <v>21.858400329288795</v>
      </c>
      <c r="E506" s="18">
        <f t="shared" si="28"/>
        <v>36.353922897741384</v>
      </c>
    </row>
    <row r="507" spans="2:5" x14ac:dyDescent="0.3">
      <c r="B507" s="457">
        <v>473</v>
      </c>
      <c r="C507" s="18">
        <f t="shared" si="26"/>
        <v>7.8833333333333337</v>
      </c>
      <c r="D507" s="18">
        <f t="shared" si="27"/>
        <v>21.858409048232897</v>
      </c>
      <c r="E507" s="18">
        <f t="shared" si="28"/>
        <v>36.3539996244495</v>
      </c>
    </row>
    <row r="508" spans="2:5" x14ac:dyDescent="0.3">
      <c r="B508" s="457">
        <v>474</v>
      </c>
      <c r="C508" s="18">
        <f t="shared" si="26"/>
        <v>7.9</v>
      </c>
      <c r="D508" s="18">
        <f t="shared" si="27"/>
        <v>21.858417616836856</v>
      </c>
      <c r="E508" s="18">
        <f t="shared" si="28"/>
        <v>36.354075028164331</v>
      </c>
    </row>
    <row r="509" spans="2:5" x14ac:dyDescent="0.3">
      <c r="B509" s="457">
        <v>475</v>
      </c>
      <c r="C509" s="18">
        <f t="shared" si="26"/>
        <v>7.916666666666667</v>
      </c>
      <c r="D509" s="18">
        <f t="shared" si="27"/>
        <v>21.858426037692972</v>
      </c>
      <c r="E509" s="18">
        <f t="shared" si="28"/>
        <v>36.354149131698165</v>
      </c>
    </row>
    <row r="510" spans="2:5" x14ac:dyDescent="0.3">
      <c r="B510" s="457">
        <v>476</v>
      </c>
      <c r="C510" s="18">
        <f t="shared" si="26"/>
        <v>7.9333333333333336</v>
      </c>
      <c r="D510" s="18">
        <f t="shared" si="27"/>
        <v>21.858434313348855</v>
      </c>
      <c r="E510" s="18">
        <f t="shared" si="28"/>
        <v>36.354221957469917</v>
      </c>
    </row>
    <row r="511" spans="2:5" x14ac:dyDescent="0.3">
      <c r="B511" s="457">
        <v>477</v>
      </c>
      <c r="C511" s="18">
        <f t="shared" si="26"/>
        <v>7.95</v>
      </c>
      <c r="D511" s="18">
        <f t="shared" si="27"/>
        <v>21.858442446308178</v>
      </c>
      <c r="E511" s="18">
        <f t="shared" si="28"/>
        <v>36.354293527511963</v>
      </c>
    </row>
    <row r="512" spans="2:5" x14ac:dyDescent="0.3">
      <c r="B512" s="457">
        <v>478</v>
      </c>
      <c r="C512" s="18">
        <f t="shared" si="26"/>
        <v>7.9666666666666668</v>
      </c>
      <c r="D512" s="18">
        <f t="shared" si="27"/>
        <v>21.858450439031451</v>
      </c>
      <c r="E512" s="18">
        <f t="shared" si="28"/>
        <v>36.354363863476763</v>
      </c>
    </row>
    <row r="513" spans="2:5" x14ac:dyDescent="0.3">
      <c r="B513" s="457">
        <v>479</v>
      </c>
      <c r="C513" s="18">
        <f t="shared" si="26"/>
        <v>7.9833333333333334</v>
      </c>
      <c r="D513" s="18">
        <f t="shared" si="27"/>
        <v>21.858458293936753</v>
      </c>
      <c r="E513" s="18">
        <f t="shared" si="28"/>
        <v>36.354432986643417</v>
      </c>
    </row>
    <row r="514" spans="2:5" x14ac:dyDescent="0.3">
      <c r="B514" s="457">
        <v>480</v>
      </c>
      <c r="C514" s="18">
        <f t="shared" si="26"/>
        <v>8</v>
      </c>
      <c r="D514" s="18">
        <f t="shared" si="27"/>
        <v>21.858466013400466</v>
      </c>
      <c r="E514" s="18">
        <f t="shared" si="28"/>
        <v>36.354500917924121</v>
      </c>
    </row>
    <row r="515" spans="2:5" x14ac:dyDescent="0.3">
      <c r="B515" s="457">
        <v>481</v>
      </c>
      <c r="C515" s="18">
        <f t="shared" si="26"/>
        <v>8.0166666666666675</v>
      </c>
      <c r="D515" s="18">
        <f t="shared" si="27"/>
        <v>21.85847359975801</v>
      </c>
      <c r="E515" s="18">
        <f t="shared" si="28"/>
        <v>36.354567677870484</v>
      </c>
    </row>
    <row r="516" spans="2:5" x14ac:dyDescent="0.3">
      <c r="B516" s="457">
        <v>482</v>
      </c>
      <c r="C516" s="18">
        <f t="shared" si="26"/>
        <v>8.0333333333333332</v>
      </c>
      <c r="D516" s="18">
        <f t="shared" si="27"/>
        <v>21.858481055304516</v>
      </c>
      <c r="E516" s="18">
        <f t="shared" si="28"/>
        <v>36.354633286679743</v>
      </c>
    </row>
    <row r="517" spans="2:5" x14ac:dyDescent="0.3">
      <c r="B517" s="457">
        <v>483</v>
      </c>
      <c r="C517" s="18">
        <f t="shared" si="26"/>
        <v>8.0500000000000007</v>
      </c>
      <c r="D517" s="18">
        <f t="shared" si="27"/>
        <v>21.858488382295555</v>
      </c>
      <c r="E517" s="18">
        <f t="shared" si="28"/>
        <v>36.354697764200871</v>
      </c>
    </row>
    <row r="518" spans="2:5" x14ac:dyDescent="0.3">
      <c r="B518" s="457">
        <v>484</v>
      </c>
      <c r="C518" s="18">
        <f t="shared" si="26"/>
        <v>8.0666666666666664</v>
      </c>
      <c r="D518" s="18">
        <f t="shared" si="27"/>
        <v>21.858495582947796</v>
      </c>
      <c r="E518" s="18">
        <f t="shared" si="28"/>
        <v>36.354761129940599</v>
      </c>
    </row>
    <row r="519" spans="2:5" x14ac:dyDescent="0.3">
      <c r="B519" s="457">
        <v>485</v>
      </c>
      <c r="C519" s="18">
        <f t="shared" si="26"/>
        <v>8.0833333333333339</v>
      </c>
      <c r="D519" s="18">
        <f t="shared" si="27"/>
        <v>21.85850265943969</v>
      </c>
      <c r="E519" s="18">
        <f t="shared" si="28"/>
        <v>36.354823403069283</v>
      </c>
    </row>
    <row r="520" spans="2:5" x14ac:dyDescent="0.3">
      <c r="B520" s="457">
        <v>486</v>
      </c>
      <c r="C520" s="18">
        <f t="shared" si="26"/>
        <v>8.1</v>
      </c>
      <c r="D520" s="18">
        <f t="shared" si="27"/>
        <v>21.85850961391213</v>
      </c>
      <c r="E520" s="18">
        <f t="shared" si="28"/>
        <v>36.35488460242675</v>
      </c>
    </row>
    <row r="521" spans="2:5" x14ac:dyDescent="0.3">
      <c r="B521" s="457">
        <v>487</v>
      </c>
      <c r="C521" s="18">
        <f t="shared" si="26"/>
        <v>8.1166666666666671</v>
      </c>
      <c r="D521" s="18">
        <f t="shared" si="27"/>
        <v>21.858516448469086</v>
      </c>
      <c r="E521" s="18">
        <f t="shared" si="28"/>
        <v>36.354944746527963</v>
      </c>
    </row>
    <row r="522" spans="2:5" x14ac:dyDescent="0.3">
      <c r="B522" s="457">
        <v>488</v>
      </c>
      <c r="C522" s="18">
        <f t="shared" si="26"/>
        <v>8.1333333333333329</v>
      </c>
      <c r="D522" s="18">
        <f t="shared" si="27"/>
        <v>21.858523165178251</v>
      </c>
      <c r="E522" s="18">
        <f t="shared" si="28"/>
        <v>36.355003853568618</v>
      </c>
    </row>
    <row r="523" spans="2:5" x14ac:dyDescent="0.3">
      <c r="B523" s="457">
        <v>489</v>
      </c>
      <c r="C523" s="18">
        <f t="shared" si="26"/>
        <v>8.15</v>
      </c>
      <c r="D523" s="18">
        <f t="shared" si="27"/>
        <v>21.858529766071669</v>
      </c>
      <c r="E523" s="18">
        <f t="shared" si="28"/>
        <v>36.355061941430691</v>
      </c>
    </row>
    <row r="524" spans="2:5" x14ac:dyDescent="0.3">
      <c r="B524" s="457">
        <v>490</v>
      </c>
      <c r="C524" s="18">
        <f t="shared" si="26"/>
        <v>8.1666666666666661</v>
      </c>
      <c r="D524" s="18">
        <f t="shared" si="27"/>
        <v>21.85853625314634</v>
      </c>
      <c r="E524" s="18">
        <f t="shared" si="28"/>
        <v>36.355119027687806</v>
      </c>
    </row>
    <row r="525" spans="2:5" x14ac:dyDescent="0.3">
      <c r="B525" s="457">
        <v>491</v>
      </c>
      <c r="C525" s="18">
        <f t="shared" si="26"/>
        <v>8.1833333333333336</v>
      </c>
      <c r="D525" s="18">
        <f t="shared" si="27"/>
        <v>21.858542628364837</v>
      </c>
      <c r="E525" s="18">
        <f t="shared" si="28"/>
        <v>36.355175129610572</v>
      </c>
    </row>
    <row r="526" spans="2:5" x14ac:dyDescent="0.3">
      <c r="B526" s="457">
        <v>492</v>
      </c>
      <c r="C526" s="18">
        <f t="shared" si="26"/>
        <v>8.1999999999999993</v>
      </c>
      <c r="D526" s="18">
        <f t="shared" si="27"/>
        <v>21.858548893655882</v>
      </c>
      <c r="E526" s="18">
        <f t="shared" si="28"/>
        <v>36.35523026417178</v>
      </c>
    </row>
    <row r="527" spans="2:5" x14ac:dyDescent="0.3">
      <c r="B527" s="457">
        <v>493</v>
      </c>
      <c r="C527" s="18">
        <f t="shared" si="26"/>
        <v>8.2166666666666668</v>
      </c>
      <c r="D527" s="18">
        <f t="shared" si="27"/>
        <v>21.858555050914955</v>
      </c>
      <c r="E527" s="18">
        <f t="shared" si="28"/>
        <v>36.355284448051592</v>
      </c>
    </row>
    <row r="528" spans="2:5" x14ac:dyDescent="0.3">
      <c r="B528" s="457">
        <v>494</v>
      </c>
      <c r="C528" s="18">
        <f t="shared" si="26"/>
        <v>8.2333333333333325</v>
      </c>
      <c r="D528" s="18">
        <f t="shared" si="27"/>
        <v>21.858561102004835</v>
      </c>
      <c r="E528" s="18">
        <f t="shared" si="28"/>
        <v>36.35533769764254</v>
      </c>
    </row>
    <row r="529" spans="2:5" x14ac:dyDescent="0.3">
      <c r="B529" s="457">
        <v>495</v>
      </c>
      <c r="C529" s="18">
        <f t="shared" si="26"/>
        <v>8.25</v>
      </c>
      <c r="D529" s="18">
        <f t="shared" si="27"/>
        <v>21.858567048756193</v>
      </c>
      <c r="E529" s="18">
        <f t="shared" si="28"/>
        <v>36.355390029054504</v>
      </c>
    </row>
    <row r="530" spans="2:5" x14ac:dyDescent="0.3">
      <c r="B530" s="457">
        <v>496</v>
      </c>
      <c r="C530" s="18">
        <f t="shared" si="26"/>
        <v>8.2666666666666675</v>
      </c>
      <c r="D530" s="18">
        <f t="shared" si="27"/>
        <v>21.858572892968134</v>
      </c>
      <c r="E530" s="18">
        <f t="shared" si="28"/>
        <v>36.355441458119572</v>
      </c>
    </row>
    <row r="531" spans="2:5" x14ac:dyDescent="0.3">
      <c r="B531" s="457">
        <v>497</v>
      </c>
      <c r="C531" s="18">
        <f t="shared" si="26"/>
        <v>8.2833333333333332</v>
      </c>
      <c r="D531" s="18">
        <f t="shared" si="27"/>
        <v>21.858578636408733</v>
      </c>
      <c r="E531" s="18">
        <f t="shared" si="28"/>
        <v>36.35549200039685</v>
      </c>
    </row>
    <row r="532" spans="2:5" x14ac:dyDescent="0.3">
      <c r="B532" s="457">
        <v>498</v>
      </c>
      <c r="C532" s="18">
        <f t="shared" si="26"/>
        <v>8.3000000000000007</v>
      </c>
      <c r="D532" s="18">
        <f t="shared" si="27"/>
        <v>21.858584280815588</v>
      </c>
      <c r="E532" s="18">
        <f t="shared" si="28"/>
        <v>36.355541671177164</v>
      </c>
    </row>
    <row r="533" spans="2:5" x14ac:dyDescent="0.3">
      <c r="B533" s="457">
        <v>499</v>
      </c>
      <c r="C533" s="18">
        <f t="shared" si="26"/>
        <v>8.3166666666666664</v>
      </c>
      <c r="D533" s="18">
        <f t="shared" si="27"/>
        <v>21.858589827896328</v>
      </c>
      <c r="E533" s="18">
        <f t="shared" si="28"/>
        <v>36.355590485487681</v>
      </c>
    </row>
    <row r="534" spans="2:5" x14ac:dyDescent="0.3">
      <c r="B534" s="457">
        <v>500</v>
      </c>
      <c r="C534" s="18">
        <f t="shared" si="26"/>
        <v>8.3333333333333339</v>
      </c>
      <c r="D534" s="18">
        <f t="shared" si="27"/>
        <v>21.85859527932914</v>
      </c>
      <c r="E534" s="18">
        <f t="shared" si="28"/>
        <v>36.355638458096429</v>
      </c>
    </row>
    <row r="535" spans="2:5" x14ac:dyDescent="0.3">
      <c r="B535" s="457">
        <v>501</v>
      </c>
      <c r="C535" s="18">
        <f t="shared" si="26"/>
        <v>8.35</v>
      </c>
      <c r="D535" s="18">
        <f t="shared" si="27"/>
        <v>21.858600636763278</v>
      </c>
      <c r="E535" s="18">
        <f t="shared" si="28"/>
        <v>36.355685603516832</v>
      </c>
    </row>
    <row r="536" spans="2:5" x14ac:dyDescent="0.3">
      <c r="B536" s="457">
        <v>502</v>
      </c>
      <c r="C536" s="18">
        <f t="shared" si="26"/>
        <v>8.3666666666666671</v>
      </c>
      <c r="D536" s="18">
        <f t="shared" si="27"/>
        <v>21.858605901819548</v>
      </c>
      <c r="E536" s="18">
        <f t="shared" si="28"/>
        <v>36.355731936012035</v>
      </c>
    </row>
    <row r="537" spans="2:5" x14ac:dyDescent="0.3">
      <c r="B537" s="457">
        <v>503</v>
      </c>
      <c r="C537" s="18">
        <f t="shared" si="26"/>
        <v>8.3833333333333329</v>
      </c>
      <c r="D537" s="18">
        <f t="shared" si="27"/>
        <v>21.858611076090824</v>
      </c>
      <c r="E537" s="18">
        <f t="shared" si="28"/>
        <v>36.355777469599246</v>
      </c>
    </row>
    <row r="538" spans="2:5" x14ac:dyDescent="0.3">
      <c r="B538" s="457">
        <v>504</v>
      </c>
      <c r="C538" s="18">
        <f t="shared" si="26"/>
        <v>8.4</v>
      </c>
      <c r="D538" s="18">
        <f t="shared" si="27"/>
        <v>21.8586161611425</v>
      </c>
      <c r="E538" s="18">
        <f t="shared" si="28"/>
        <v>36.355822218053987</v>
      </c>
    </row>
    <row r="539" spans="2:5" x14ac:dyDescent="0.3">
      <c r="B539" s="457">
        <v>505</v>
      </c>
      <c r="C539" s="18">
        <f t="shared" si="26"/>
        <v>8.4166666666666661</v>
      </c>
      <c r="D539" s="18">
        <f t="shared" si="27"/>
        <v>21.858621158512982</v>
      </c>
      <c r="E539" s="18">
        <f t="shared" si="28"/>
        <v>36.355866194914242</v>
      </c>
    </row>
    <row r="540" spans="2:5" x14ac:dyDescent="0.3">
      <c r="B540" s="457">
        <v>506</v>
      </c>
      <c r="C540" s="18">
        <f t="shared" si="26"/>
        <v>8.4333333333333336</v>
      </c>
      <c r="D540" s="18">
        <f t="shared" si="27"/>
        <v>21.858626069714155</v>
      </c>
      <c r="E540" s="18">
        <f t="shared" si="28"/>
        <v>36.355909413484554</v>
      </c>
    </row>
    <row r="541" spans="2:5" x14ac:dyDescent="0.3">
      <c r="B541" s="457">
        <v>507</v>
      </c>
      <c r="C541" s="18">
        <f t="shared" si="26"/>
        <v>8.4499999999999993</v>
      </c>
      <c r="D541" s="18">
        <f t="shared" si="27"/>
        <v>21.858630896231826</v>
      </c>
      <c r="E541" s="18">
        <f t="shared" si="28"/>
        <v>36.355951886840074</v>
      </c>
    </row>
    <row r="542" spans="2:5" x14ac:dyDescent="0.3">
      <c r="B542" s="457">
        <v>508</v>
      </c>
      <c r="C542" s="18">
        <f t="shared" si="26"/>
        <v>8.4666666666666668</v>
      </c>
      <c r="D542" s="18">
        <f t="shared" si="27"/>
        <v>21.858635639526192</v>
      </c>
      <c r="E542" s="18">
        <f t="shared" si="28"/>
        <v>36.355993627830472</v>
      </c>
    </row>
    <row r="543" spans="2:5" x14ac:dyDescent="0.3">
      <c r="B543" s="457">
        <v>509</v>
      </c>
      <c r="C543" s="18">
        <f t="shared" si="26"/>
        <v>8.4833333333333325</v>
      </c>
      <c r="D543" s="18">
        <f t="shared" si="27"/>
        <v>21.85864030103226</v>
      </c>
      <c r="E543" s="18">
        <f t="shared" si="28"/>
        <v>36.356034649083888</v>
      </c>
    </row>
    <row r="544" spans="2:5" x14ac:dyDescent="0.3">
      <c r="B544" s="457">
        <v>510</v>
      </c>
      <c r="C544" s="18">
        <f t="shared" si="26"/>
        <v>8.5</v>
      </c>
      <c r="D544" s="18">
        <f t="shared" si="27"/>
        <v>21.858644882160306</v>
      </c>
      <c r="E544" s="18">
        <f t="shared" si="28"/>
        <v>36.356074963010684</v>
      </c>
    </row>
    <row r="545" spans="2:5" x14ac:dyDescent="0.3">
      <c r="B545" s="457">
        <v>511</v>
      </c>
      <c r="C545" s="18">
        <f t="shared" si="26"/>
        <v>8.5166666666666675</v>
      </c>
      <c r="D545" s="18">
        <f t="shared" si="27"/>
        <v>21.858649384296278</v>
      </c>
      <c r="E545" s="18">
        <f t="shared" si="28"/>
        <v>36.356114581807255</v>
      </c>
    </row>
    <row r="546" spans="2:5" x14ac:dyDescent="0.3">
      <c r="B546" s="457">
        <v>512</v>
      </c>
      <c r="C546" s="18">
        <f t="shared" si="26"/>
        <v>8.5333333333333332</v>
      </c>
      <c r="D546" s="18">
        <f t="shared" si="27"/>
        <v>21.858653808802234</v>
      </c>
      <c r="E546" s="18">
        <f t="shared" si="28"/>
        <v>36.356153517459674</v>
      </c>
    </row>
    <row r="547" spans="2:5" x14ac:dyDescent="0.3">
      <c r="B547" s="457">
        <v>513</v>
      </c>
      <c r="C547" s="18">
        <f t="shared" si="26"/>
        <v>8.5500000000000007</v>
      </c>
      <c r="D547" s="18">
        <f t="shared" si="27"/>
        <v>21.858658157016745</v>
      </c>
      <c r="E547" s="18">
        <f t="shared" si="28"/>
        <v>36.356191781747349</v>
      </c>
    </row>
    <row r="548" spans="2:5" x14ac:dyDescent="0.3">
      <c r="B548" s="457">
        <v>514</v>
      </c>
      <c r="C548" s="18">
        <f t="shared" ref="C548:C611" si="29">B548/60</f>
        <v>8.5666666666666664</v>
      </c>
      <c r="D548" s="18">
        <f t="shared" ref="D548:D611" si="30">$I$32+$G$27/$A$32/$D$32*(1-EXP(-B548/($G$32*$H$32/$A$32/$D$32)))</f>
        <v>21.858662430255293</v>
      </c>
      <c r="E548" s="18">
        <f t="shared" ref="E548:E611" si="31">$I$32+$G$27/$A$32/$E$32*(1-EXP(-B548/($G$32*$H$32/$A$32/$D$32)))</f>
        <v>36.356229386246575</v>
      </c>
    </row>
    <row r="549" spans="2:5" x14ac:dyDescent="0.3">
      <c r="B549" s="457">
        <v>515</v>
      </c>
      <c r="C549" s="18">
        <f t="shared" si="29"/>
        <v>8.5833333333333339</v>
      </c>
      <c r="D549" s="18">
        <f t="shared" si="30"/>
        <v>21.858666629810685</v>
      </c>
      <c r="E549" s="18">
        <f t="shared" si="31"/>
        <v>36.356266342334038</v>
      </c>
    </row>
    <row r="550" spans="2:5" x14ac:dyDescent="0.3">
      <c r="B550" s="457">
        <v>516</v>
      </c>
      <c r="C550" s="18">
        <f t="shared" si="29"/>
        <v>8.6</v>
      </c>
      <c r="D550" s="18">
        <f t="shared" si="30"/>
        <v>21.85867075695344</v>
      </c>
      <c r="E550" s="18">
        <f t="shared" si="31"/>
        <v>36.35630266119027</v>
      </c>
    </row>
    <row r="551" spans="2:5" x14ac:dyDescent="0.3">
      <c r="B551" s="457">
        <v>517</v>
      </c>
      <c r="C551" s="18">
        <f t="shared" si="29"/>
        <v>8.6166666666666671</v>
      </c>
      <c r="D551" s="18">
        <f t="shared" si="30"/>
        <v>21.858674812932158</v>
      </c>
      <c r="E551" s="18">
        <f t="shared" si="31"/>
        <v>36.356338353802983</v>
      </c>
    </row>
    <row r="552" spans="2:5" x14ac:dyDescent="0.3">
      <c r="B552" s="457">
        <v>518</v>
      </c>
      <c r="C552" s="18">
        <f t="shared" si="29"/>
        <v>8.6333333333333329</v>
      </c>
      <c r="D552" s="18">
        <f t="shared" si="30"/>
        <v>21.858678798973916</v>
      </c>
      <c r="E552" s="18">
        <f t="shared" si="31"/>
        <v>36.356373430970464</v>
      </c>
    </row>
    <row r="553" spans="2:5" x14ac:dyDescent="0.3">
      <c r="B553" s="457">
        <v>519</v>
      </c>
      <c r="C553" s="18">
        <f t="shared" si="29"/>
        <v>8.65</v>
      </c>
      <c r="D553" s="18">
        <f t="shared" si="30"/>
        <v>21.858682716284633</v>
      </c>
      <c r="E553" s="18">
        <f t="shared" si="31"/>
        <v>36.356407903304785</v>
      </c>
    </row>
    <row r="554" spans="2:5" x14ac:dyDescent="0.3">
      <c r="B554" s="457">
        <v>520</v>
      </c>
      <c r="C554" s="18">
        <f t="shared" si="29"/>
        <v>8.6666666666666661</v>
      </c>
      <c r="D554" s="18">
        <f t="shared" si="30"/>
        <v>21.858686566049439</v>
      </c>
      <c r="E554" s="18">
        <f t="shared" si="31"/>
        <v>36.356441781235048</v>
      </c>
    </row>
    <row r="555" spans="2:5" x14ac:dyDescent="0.3">
      <c r="B555" s="457">
        <v>521</v>
      </c>
      <c r="C555" s="18">
        <f t="shared" si="29"/>
        <v>8.6833333333333336</v>
      </c>
      <c r="D555" s="18">
        <f t="shared" si="30"/>
        <v>21.858690349433015</v>
      </c>
      <c r="E555" s="18">
        <f t="shared" si="31"/>
        <v>36.356475075010522</v>
      </c>
    </row>
    <row r="556" spans="2:5" x14ac:dyDescent="0.3">
      <c r="B556" s="457">
        <v>522</v>
      </c>
      <c r="C556" s="18">
        <f t="shared" si="29"/>
        <v>8.6999999999999993</v>
      </c>
      <c r="D556" s="18">
        <f t="shared" si="30"/>
        <v>21.858694067579972</v>
      </c>
      <c r="E556" s="18">
        <f t="shared" si="31"/>
        <v>36.356507794703745</v>
      </c>
    </row>
    <row r="557" spans="2:5" x14ac:dyDescent="0.3">
      <c r="B557" s="457">
        <v>523</v>
      </c>
      <c r="C557" s="18">
        <f t="shared" si="29"/>
        <v>8.7166666666666668</v>
      </c>
      <c r="D557" s="18">
        <f t="shared" si="30"/>
        <v>21.858697721615179</v>
      </c>
      <c r="E557" s="18">
        <f t="shared" si="31"/>
        <v>36.35653995021358</v>
      </c>
    </row>
    <row r="558" spans="2:5" x14ac:dyDescent="0.3">
      <c r="B558" s="457">
        <v>524</v>
      </c>
      <c r="C558" s="18">
        <f t="shared" si="29"/>
        <v>8.7333333333333325</v>
      </c>
      <c r="D558" s="18">
        <f t="shared" si="30"/>
        <v>21.858701312644111</v>
      </c>
      <c r="E558" s="18">
        <f t="shared" si="31"/>
        <v>36.356571551268189</v>
      </c>
    </row>
    <row r="559" spans="2:5" x14ac:dyDescent="0.3">
      <c r="B559" s="457">
        <v>525</v>
      </c>
      <c r="C559" s="18">
        <f t="shared" si="29"/>
        <v>8.75</v>
      </c>
      <c r="D559" s="18">
        <f t="shared" si="30"/>
        <v>21.858704841753184</v>
      </c>
      <c r="E559" s="18">
        <f t="shared" si="31"/>
        <v>36.356602607428023</v>
      </c>
    </row>
    <row r="560" spans="2:5" x14ac:dyDescent="0.3">
      <c r="B560" s="457">
        <v>526</v>
      </c>
      <c r="C560" s="18">
        <f t="shared" si="29"/>
        <v>8.7666666666666675</v>
      </c>
      <c r="D560" s="18">
        <f t="shared" si="30"/>
        <v>21.858708310010073</v>
      </c>
      <c r="E560" s="18">
        <f t="shared" si="31"/>
        <v>36.356633128088653</v>
      </c>
    </row>
    <row r="561" spans="2:5" x14ac:dyDescent="0.3">
      <c r="B561" s="457">
        <v>527</v>
      </c>
      <c r="C561" s="18">
        <f t="shared" si="29"/>
        <v>8.7833333333333332</v>
      </c>
      <c r="D561" s="18">
        <f t="shared" si="30"/>
        <v>21.85871171846405</v>
      </c>
      <c r="E561" s="18">
        <f t="shared" si="31"/>
        <v>36.356663122483653</v>
      </c>
    </row>
    <row r="562" spans="2:5" x14ac:dyDescent="0.3">
      <c r="B562" s="457">
        <v>528</v>
      </c>
      <c r="C562" s="18">
        <f t="shared" si="29"/>
        <v>8.8000000000000007</v>
      </c>
      <c r="D562" s="18">
        <f t="shared" si="30"/>
        <v>21.858715068146296</v>
      </c>
      <c r="E562" s="18">
        <f t="shared" si="31"/>
        <v>36.356692599687392</v>
      </c>
    </row>
    <row r="563" spans="2:5" x14ac:dyDescent="0.3">
      <c r="B563" s="457">
        <v>529</v>
      </c>
      <c r="C563" s="18">
        <f t="shared" si="29"/>
        <v>8.8166666666666664</v>
      </c>
      <c r="D563" s="18">
        <f t="shared" si="30"/>
        <v>21.858718360070199</v>
      </c>
      <c r="E563" s="18">
        <f t="shared" si="31"/>
        <v>36.356721568617765</v>
      </c>
    </row>
    <row r="564" spans="2:5" x14ac:dyDescent="0.3">
      <c r="B564" s="457">
        <v>530</v>
      </c>
      <c r="C564" s="18">
        <f t="shared" si="29"/>
        <v>8.8333333333333339</v>
      </c>
      <c r="D564" s="18">
        <f t="shared" si="30"/>
        <v>21.858721595231692</v>
      </c>
      <c r="E564" s="18">
        <f t="shared" si="31"/>
        <v>36.356750038038882</v>
      </c>
    </row>
    <row r="565" spans="2:5" x14ac:dyDescent="0.3">
      <c r="B565" s="457">
        <v>531</v>
      </c>
      <c r="C565" s="18">
        <f t="shared" si="29"/>
        <v>8.85</v>
      </c>
      <c r="D565" s="18">
        <f t="shared" si="30"/>
        <v>21.858724774609517</v>
      </c>
      <c r="E565" s="18">
        <f t="shared" si="31"/>
        <v>36.356778016563759</v>
      </c>
    </row>
    <row r="566" spans="2:5" x14ac:dyDescent="0.3">
      <c r="B566" s="457">
        <v>532</v>
      </c>
      <c r="C566" s="18">
        <f t="shared" si="29"/>
        <v>8.8666666666666671</v>
      </c>
      <c r="D566" s="18">
        <f t="shared" si="30"/>
        <v>21.858727899165554</v>
      </c>
      <c r="E566" s="18">
        <f t="shared" si="31"/>
        <v>36.356805512656877</v>
      </c>
    </row>
    <row r="567" spans="2:5" x14ac:dyDescent="0.3">
      <c r="B567" s="457">
        <v>533</v>
      </c>
      <c r="C567" s="18">
        <f t="shared" si="29"/>
        <v>8.8833333333333329</v>
      </c>
      <c r="D567" s="18">
        <f t="shared" si="30"/>
        <v>21.858730969845087</v>
      </c>
      <c r="E567" s="18">
        <f t="shared" si="31"/>
        <v>36.35683253463678</v>
      </c>
    </row>
    <row r="568" spans="2:5" x14ac:dyDescent="0.3">
      <c r="B568" s="457">
        <v>534</v>
      </c>
      <c r="C568" s="18">
        <f t="shared" si="29"/>
        <v>8.9</v>
      </c>
      <c r="D568" s="18">
        <f t="shared" si="30"/>
        <v>21.858733987577111</v>
      </c>
      <c r="E568" s="18">
        <f t="shared" si="31"/>
        <v>36.356859090678562</v>
      </c>
    </row>
    <row r="569" spans="2:5" x14ac:dyDescent="0.3">
      <c r="B569" s="457">
        <v>535</v>
      </c>
      <c r="C569" s="18">
        <f t="shared" si="29"/>
        <v>8.9166666666666661</v>
      </c>
      <c r="D569" s="18">
        <f t="shared" si="30"/>
        <v>21.858736953274587</v>
      </c>
      <c r="E569" s="18">
        <f t="shared" si="31"/>
        <v>36.356885188816364</v>
      </c>
    </row>
    <row r="570" spans="2:5" x14ac:dyDescent="0.3">
      <c r="B570" s="457">
        <v>536</v>
      </c>
      <c r="C570" s="18">
        <f t="shared" si="29"/>
        <v>8.9333333333333336</v>
      </c>
      <c r="D570" s="18">
        <f t="shared" si="30"/>
        <v>21.85873986783475</v>
      </c>
      <c r="E570" s="18">
        <f t="shared" si="31"/>
        <v>36.356910836945801</v>
      </c>
    </row>
    <row r="571" spans="2:5" x14ac:dyDescent="0.3">
      <c r="B571" s="457">
        <v>537</v>
      </c>
      <c r="C571" s="18">
        <f t="shared" si="29"/>
        <v>8.9499999999999993</v>
      </c>
      <c r="D571" s="18">
        <f t="shared" si="30"/>
        <v>21.858742732139355</v>
      </c>
      <c r="E571" s="18">
        <f t="shared" si="31"/>
        <v>36.35693604282632</v>
      </c>
    </row>
    <row r="572" spans="2:5" x14ac:dyDescent="0.3">
      <c r="B572" s="457">
        <v>538</v>
      </c>
      <c r="C572" s="18">
        <f t="shared" si="29"/>
        <v>8.9666666666666668</v>
      </c>
      <c r="D572" s="18">
        <f t="shared" si="30"/>
        <v>21.858745547054955</v>
      </c>
      <c r="E572" s="18">
        <f t="shared" si="31"/>
        <v>36.3569608140836</v>
      </c>
    </row>
    <row r="573" spans="2:5" x14ac:dyDescent="0.3">
      <c r="B573" s="457">
        <v>539</v>
      </c>
      <c r="C573" s="18">
        <f t="shared" si="29"/>
        <v>8.9833333333333325</v>
      </c>
      <c r="D573" s="18">
        <f t="shared" si="30"/>
        <v>21.858748313433161</v>
      </c>
      <c r="E573" s="18">
        <f t="shared" si="31"/>
        <v>36.356985158211813</v>
      </c>
    </row>
    <row r="574" spans="2:5" x14ac:dyDescent="0.3">
      <c r="B574" s="457">
        <v>540</v>
      </c>
      <c r="C574" s="18">
        <f t="shared" si="29"/>
        <v>9</v>
      </c>
      <c r="D574" s="18">
        <f t="shared" si="30"/>
        <v>21.858751032110899</v>
      </c>
      <c r="E574" s="18">
        <f t="shared" si="31"/>
        <v>36.357009082575928</v>
      </c>
    </row>
    <row r="575" spans="2:5" x14ac:dyDescent="0.3">
      <c r="B575" s="457">
        <v>541</v>
      </c>
      <c r="C575" s="18">
        <f t="shared" si="29"/>
        <v>9.0166666666666675</v>
      </c>
      <c r="D575" s="18">
        <f t="shared" si="30"/>
        <v>21.858753703910669</v>
      </c>
      <c r="E575" s="18">
        <f t="shared" si="31"/>
        <v>36.357032594413887</v>
      </c>
    </row>
    <row r="576" spans="2:5" x14ac:dyDescent="0.3">
      <c r="B576" s="457">
        <v>542</v>
      </c>
      <c r="C576" s="18">
        <f t="shared" si="29"/>
        <v>9.0333333333333332</v>
      </c>
      <c r="D576" s="18">
        <f t="shared" si="30"/>
        <v>21.85875632964078</v>
      </c>
      <c r="E576" s="18">
        <f t="shared" si="31"/>
        <v>36.35705570083887</v>
      </c>
    </row>
    <row r="577" spans="2:5" x14ac:dyDescent="0.3">
      <c r="B577" s="457">
        <v>543</v>
      </c>
      <c r="C577" s="18">
        <f t="shared" si="29"/>
        <v>9.0500000000000007</v>
      </c>
      <c r="D577" s="18">
        <f t="shared" si="30"/>
        <v>21.858758910095609</v>
      </c>
      <c r="E577" s="18">
        <f t="shared" si="31"/>
        <v>36.357078408841375</v>
      </c>
    </row>
    <row r="578" spans="2:5" x14ac:dyDescent="0.3">
      <c r="B578" s="457">
        <v>544</v>
      </c>
      <c r="C578" s="18">
        <f t="shared" si="29"/>
        <v>9.0666666666666664</v>
      </c>
      <c r="D578" s="18">
        <f t="shared" si="30"/>
        <v>21.858761446055837</v>
      </c>
      <c r="E578" s="18">
        <f t="shared" si="31"/>
        <v>36.357100725291374</v>
      </c>
    </row>
    <row r="579" spans="2:5" x14ac:dyDescent="0.3">
      <c r="B579" s="457">
        <v>545</v>
      </c>
      <c r="C579" s="18">
        <f t="shared" si="29"/>
        <v>9.0833333333333339</v>
      </c>
      <c r="D579" s="18">
        <f t="shared" si="30"/>
        <v>21.858763938288678</v>
      </c>
      <c r="E579" s="18">
        <f t="shared" si="31"/>
        <v>36.357122656940376</v>
      </c>
    </row>
    <row r="580" spans="2:5" x14ac:dyDescent="0.3">
      <c r="B580" s="457">
        <v>546</v>
      </c>
      <c r="C580" s="18">
        <f t="shared" si="29"/>
        <v>9.1</v>
      </c>
      <c r="D580" s="18">
        <f t="shared" si="30"/>
        <v>21.858766387548123</v>
      </c>
      <c r="E580" s="18">
        <f t="shared" si="31"/>
        <v>36.357144210423485</v>
      </c>
    </row>
    <row r="581" spans="2:5" x14ac:dyDescent="0.3">
      <c r="B581" s="457">
        <v>547</v>
      </c>
      <c r="C581" s="18">
        <f t="shared" si="29"/>
        <v>9.1166666666666671</v>
      </c>
      <c r="D581" s="18">
        <f t="shared" si="30"/>
        <v>21.858768794575155</v>
      </c>
      <c r="E581" s="18">
        <f t="shared" si="31"/>
        <v>36.357165392261379</v>
      </c>
    </row>
    <row r="582" spans="2:5" x14ac:dyDescent="0.3">
      <c r="B582" s="457">
        <v>548</v>
      </c>
      <c r="C582" s="18">
        <f t="shared" si="29"/>
        <v>9.1333333333333329</v>
      </c>
      <c r="D582" s="18">
        <f t="shared" si="30"/>
        <v>21.858771160097991</v>
      </c>
      <c r="E582" s="18">
        <f t="shared" si="31"/>
        <v>36.357186208862331</v>
      </c>
    </row>
    <row r="583" spans="2:5" x14ac:dyDescent="0.3">
      <c r="B583" s="457">
        <v>549</v>
      </c>
      <c r="C583" s="18">
        <f t="shared" si="29"/>
        <v>9.15</v>
      </c>
      <c r="D583" s="18">
        <f t="shared" si="30"/>
        <v>21.85877348483228</v>
      </c>
      <c r="E583" s="18">
        <f t="shared" si="31"/>
        <v>36.357206666524078</v>
      </c>
    </row>
    <row r="584" spans="2:5" x14ac:dyDescent="0.3">
      <c r="B584" s="457">
        <v>550</v>
      </c>
      <c r="C584" s="18">
        <f t="shared" si="29"/>
        <v>9.1666666666666661</v>
      </c>
      <c r="D584" s="18">
        <f t="shared" si="30"/>
        <v>21.85877576948134</v>
      </c>
      <c r="E584" s="18">
        <f t="shared" si="31"/>
        <v>36.357226771435784</v>
      </c>
    </row>
    <row r="585" spans="2:5" x14ac:dyDescent="0.3">
      <c r="B585" s="457">
        <v>551</v>
      </c>
      <c r="C585" s="18">
        <f t="shared" si="29"/>
        <v>9.1833333333333336</v>
      </c>
      <c r="D585" s="18">
        <f t="shared" si="30"/>
        <v>21.858778014736352</v>
      </c>
      <c r="E585" s="18">
        <f t="shared" si="31"/>
        <v>36.357246529679898</v>
      </c>
    </row>
    <row r="586" spans="2:5" x14ac:dyDescent="0.3">
      <c r="B586" s="457">
        <v>552</v>
      </c>
      <c r="C586" s="18">
        <f t="shared" si="29"/>
        <v>9.1999999999999993</v>
      </c>
      <c r="D586" s="18">
        <f t="shared" si="30"/>
        <v>21.858780221276589</v>
      </c>
      <c r="E586" s="18">
        <f t="shared" si="31"/>
        <v>36.357265947233984</v>
      </c>
    </row>
    <row r="587" spans="2:5" x14ac:dyDescent="0.3">
      <c r="B587" s="457">
        <v>553</v>
      </c>
      <c r="C587" s="18">
        <f t="shared" si="29"/>
        <v>9.2166666666666668</v>
      </c>
      <c r="D587" s="18">
        <f t="shared" si="30"/>
        <v>21.858782389769608</v>
      </c>
      <c r="E587" s="18">
        <f t="shared" si="31"/>
        <v>36.357285029972545</v>
      </c>
    </row>
    <row r="588" spans="2:5" x14ac:dyDescent="0.3">
      <c r="B588" s="457">
        <v>554</v>
      </c>
      <c r="C588" s="18">
        <f t="shared" si="29"/>
        <v>9.2333333333333325</v>
      </c>
      <c r="D588" s="18">
        <f t="shared" si="30"/>
        <v>21.858784520871453</v>
      </c>
      <c r="E588" s="18">
        <f t="shared" si="31"/>
        <v>36.357303783668769</v>
      </c>
    </row>
    <row r="589" spans="2:5" x14ac:dyDescent="0.3">
      <c r="B589" s="457">
        <v>555</v>
      </c>
      <c r="C589" s="18">
        <f t="shared" si="29"/>
        <v>9.25</v>
      </c>
      <c r="D589" s="18">
        <f t="shared" si="30"/>
        <v>21.858786615226855</v>
      </c>
      <c r="E589" s="18">
        <f t="shared" si="31"/>
        <v>36.357322213996312</v>
      </c>
    </row>
    <row r="590" spans="2:5" x14ac:dyDescent="0.3">
      <c r="B590" s="457">
        <v>556</v>
      </c>
      <c r="C590" s="18">
        <f t="shared" si="29"/>
        <v>9.2666666666666675</v>
      </c>
      <c r="D590" s="18">
        <f t="shared" si="30"/>
        <v>21.858788673469434</v>
      </c>
      <c r="E590" s="18">
        <f t="shared" si="31"/>
        <v>36.357340326531002</v>
      </c>
    </row>
    <row r="591" spans="2:5" x14ac:dyDescent="0.3">
      <c r="B591" s="457">
        <v>557</v>
      </c>
      <c r="C591" s="18">
        <f t="shared" si="29"/>
        <v>9.2833333333333332</v>
      </c>
      <c r="D591" s="18">
        <f t="shared" si="30"/>
        <v>21.858790696221877</v>
      </c>
      <c r="E591" s="18">
        <f t="shared" si="31"/>
        <v>36.35735812675253</v>
      </c>
    </row>
    <row r="592" spans="2:5" x14ac:dyDescent="0.3">
      <c r="B592" s="457">
        <v>558</v>
      </c>
      <c r="C592" s="18">
        <f t="shared" si="29"/>
        <v>9.3000000000000007</v>
      </c>
      <c r="D592" s="18">
        <f t="shared" si="30"/>
        <v>21.858792684096144</v>
      </c>
      <c r="E592" s="18">
        <f t="shared" si="31"/>
        <v>36.357375620046064</v>
      </c>
    </row>
    <row r="593" spans="2:5" x14ac:dyDescent="0.3">
      <c r="B593" s="457">
        <v>559</v>
      </c>
      <c r="C593" s="18">
        <f t="shared" si="29"/>
        <v>9.3166666666666664</v>
      </c>
      <c r="D593" s="18">
        <f t="shared" si="30"/>
        <v>21.858794637693631</v>
      </c>
      <c r="E593" s="18">
        <f t="shared" si="31"/>
        <v>36.35739281170396</v>
      </c>
    </row>
    <row r="594" spans="2:5" x14ac:dyDescent="0.3">
      <c r="B594" s="457">
        <v>560</v>
      </c>
      <c r="C594" s="18">
        <f t="shared" si="29"/>
        <v>9.3333333333333339</v>
      </c>
      <c r="D594" s="18">
        <f t="shared" si="30"/>
        <v>21.858796557605373</v>
      </c>
      <c r="E594" s="18">
        <f t="shared" si="31"/>
        <v>36.357409706927299</v>
      </c>
    </row>
    <row r="595" spans="2:5" x14ac:dyDescent="0.3">
      <c r="B595" s="457">
        <v>561</v>
      </c>
      <c r="C595" s="18">
        <f t="shared" si="29"/>
        <v>9.35</v>
      </c>
      <c r="D595" s="18">
        <f t="shared" si="30"/>
        <v>21.858798444412212</v>
      </c>
      <c r="E595" s="18">
        <f t="shared" si="31"/>
        <v>36.357426310827478</v>
      </c>
    </row>
    <row r="596" spans="2:5" x14ac:dyDescent="0.3">
      <c r="B596" s="457">
        <v>562</v>
      </c>
      <c r="C596" s="18">
        <f t="shared" si="29"/>
        <v>9.3666666666666671</v>
      </c>
      <c r="D596" s="18">
        <f t="shared" si="30"/>
        <v>21.858800298684972</v>
      </c>
      <c r="E596" s="18">
        <f t="shared" si="31"/>
        <v>36.357442628427755</v>
      </c>
    </row>
    <row r="597" spans="2:5" x14ac:dyDescent="0.3">
      <c r="B597" s="457">
        <v>563</v>
      </c>
      <c r="C597" s="18">
        <f t="shared" si="29"/>
        <v>9.3833333333333329</v>
      </c>
      <c r="D597" s="18">
        <f t="shared" si="30"/>
        <v>21.858802120984635</v>
      </c>
      <c r="E597" s="18">
        <f t="shared" si="31"/>
        <v>36.35745866466479</v>
      </c>
    </row>
    <row r="598" spans="2:5" x14ac:dyDescent="0.3">
      <c r="B598" s="457">
        <v>564</v>
      </c>
      <c r="C598" s="18">
        <f t="shared" si="29"/>
        <v>9.4</v>
      </c>
      <c r="D598" s="18">
        <f t="shared" si="30"/>
        <v>21.858803911862513</v>
      </c>
      <c r="E598" s="18">
        <f t="shared" si="31"/>
        <v>36.357474424390112</v>
      </c>
    </row>
    <row r="599" spans="2:5" x14ac:dyDescent="0.3">
      <c r="B599" s="457">
        <v>565</v>
      </c>
      <c r="C599" s="18">
        <f t="shared" si="29"/>
        <v>9.4166666666666661</v>
      </c>
      <c r="D599" s="18">
        <f t="shared" si="30"/>
        <v>21.858805671860406</v>
      </c>
      <c r="E599" s="18">
        <f t="shared" si="31"/>
        <v>36.357489912371584</v>
      </c>
    </row>
    <row r="600" spans="2:5" x14ac:dyDescent="0.3">
      <c r="B600" s="457">
        <v>566</v>
      </c>
      <c r="C600" s="18">
        <f t="shared" si="29"/>
        <v>9.4333333333333336</v>
      </c>
      <c r="D600" s="18">
        <f t="shared" si="30"/>
        <v>21.858807401510781</v>
      </c>
      <c r="E600" s="18">
        <f t="shared" si="31"/>
        <v>36.357505133294872</v>
      </c>
    </row>
    <row r="601" spans="2:5" x14ac:dyDescent="0.3">
      <c r="B601" s="457">
        <v>567</v>
      </c>
      <c r="C601" s="18">
        <f t="shared" si="29"/>
        <v>9.4499999999999993</v>
      </c>
      <c r="D601" s="18">
        <f t="shared" si="30"/>
        <v>21.858809101336913</v>
      </c>
      <c r="E601" s="18">
        <f t="shared" si="31"/>
        <v>36.35752009176484</v>
      </c>
    </row>
    <row r="602" spans="2:5" x14ac:dyDescent="0.3">
      <c r="B602" s="457">
        <v>568</v>
      </c>
      <c r="C602" s="18">
        <f t="shared" si="29"/>
        <v>9.4666666666666668</v>
      </c>
      <c r="D602" s="18">
        <f t="shared" si="30"/>
        <v>21.858810771853062</v>
      </c>
      <c r="E602" s="18">
        <f t="shared" si="31"/>
        <v>36.35753479230695</v>
      </c>
    </row>
    <row r="603" spans="2:5" x14ac:dyDescent="0.3">
      <c r="B603" s="457">
        <v>569</v>
      </c>
      <c r="C603" s="18">
        <f t="shared" si="29"/>
        <v>9.4833333333333325</v>
      </c>
      <c r="D603" s="18">
        <f t="shared" si="30"/>
        <v>21.858812413564618</v>
      </c>
      <c r="E603" s="18">
        <f t="shared" si="31"/>
        <v>36.357549239368637</v>
      </c>
    </row>
    <row r="604" spans="2:5" x14ac:dyDescent="0.3">
      <c r="B604" s="457">
        <v>570</v>
      </c>
      <c r="C604" s="18">
        <f t="shared" si="29"/>
        <v>9.5</v>
      </c>
      <c r="D604" s="18">
        <f t="shared" si="30"/>
        <v>21.858814026968254</v>
      </c>
      <c r="E604" s="18">
        <f t="shared" si="31"/>
        <v>36.35756343732065</v>
      </c>
    </row>
    <row r="605" spans="2:5" x14ac:dyDescent="0.3">
      <c r="B605" s="457">
        <v>571</v>
      </c>
      <c r="C605" s="18">
        <f t="shared" si="29"/>
        <v>9.5166666666666675</v>
      </c>
      <c r="D605" s="18">
        <f t="shared" si="30"/>
        <v>21.858815612552085</v>
      </c>
      <c r="E605" s="18">
        <f t="shared" si="31"/>
        <v>36.35757739045836</v>
      </c>
    </row>
    <row r="606" spans="2:5" x14ac:dyDescent="0.3">
      <c r="B606" s="457">
        <v>572</v>
      </c>
      <c r="C606" s="18">
        <f t="shared" si="29"/>
        <v>9.5333333333333332</v>
      </c>
      <c r="D606" s="18">
        <f t="shared" si="30"/>
        <v>21.858817170795806</v>
      </c>
      <c r="E606" s="18">
        <f t="shared" si="31"/>
        <v>36.357591103003088</v>
      </c>
    </row>
    <row r="607" spans="2:5" x14ac:dyDescent="0.3">
      <c r="B607" s="457">
        <v>573</v>
      </c>
      <c r="C607" s="18">
        <f t="shared" si="29"/>
        <v>9.5500000000000007</v>
      </c>
      <c r="D607" s="18">
        <f t="shared" si="30"/>
        <v>21.858818702170836</v>
      </c>
      <c r="E607" s="18">
        <f t="shared" si="31"/>
        <v>36.357604579103366</v>
      </c>
    </row>
    <row r="608" spans="2:5" x14ac:dyDescent="0.3">
      <c r="B608" s="457">
        <v>574</v>
      </c>
      <c r="C608" s="18">
        <f t="shared" si="29"/>
        <v>9.5666666666666664</v>
      </c>
      <c r="D608" s="18">
        <f t="shared" si="30"/>
        <v>21.858820207140475</v>
      </c>
      <c r="E608" s="18">
        <f t="shared" si="31"/>
        <v>36.35761782283619</v>
      </c>
    </row>
    <row r="609" spans="2:5" x14ac:dyDescent="0.3">
      <c r="B609" s="457">
        <v>575</v>
      </c>
      <c r="C609" s="18">
        <f t="shared" si="29"/>
        <v>9.5833333333333339</v>
      </c>
      <c r="D609" s="18">
        <f t="shared" si="30"/>
        <v>21.858821686160027</v>
      </c>
      <c r="E609" s="18">
        <f t="shared" si="31"/>
        <v>36.357630838208237</v>
      </c>
    </row>
    <row r="610" spans="2:5" x14ac:dyDescent="0.3">
      <c r="B610" s="457">
        <v>576</v>
      </c>
      <c r="C610" s="18">
        <f t="shared" si="29"/>
        <v>9.6</v>
      </c>
      <c r="D610" s="18">
        <f t="shared" si="30"/>
        <v>21.858823139676947</v>
      </c>
      <c r="E610" s="18">
        <f t="shared" si="31"/>
        <v>36.357643629157138</v>
      </c>
    </row>
    <row r="611" spans="2:5" x14ac:dyDescent="0.3">
      <c r="B611" s="457">
        <v>577</v>
      </c>
      <c r="C611" s="18">
        <f t="shared" si="29"/>
        <v>9.6166666666666671</v>
      </c>
      <c r="D611" s="18">
        <f t="shared" si="30"/>
        <v>21.858824568130977</v>
      </c>
      <c r="E611" s="18">
        <f t="shared" si="31"/>
        <v>36.357656199552608</v>
      </c>
    </row>
    <row r="612" spans="2:5" x14ac:dyDescent="0.3">
      <c r="B612" s="457">
        <v>578</v>
      </c>
      <c r="C612" s="18">
        <f t="shared" ref="C612:C675" si="32">B612/60</f>
        <v>9.6333333333333329</v>
      </c>
      <c r="D612" s="18">
        <f t="shared" ref="D612:D675" si="33">$I$32+$G$27/$A$32/$D$32*(1-EXP(-B612/($G$32*$H$32/$A$32/$D$32)))</f>
        <v>21.858825971954275</v>
      </c>
      <c r="E612" s="18">
        <f t="shared" ref="E612:E675" si="34">$I$32+$G$27/$A$32/$E$32*(1-EXP(-B612/($G$32*$H$32/$A$32/$D$32)))</f>
        <v>36.357668553197612</v>
      </c>
    </row>
    <row r="613" spans="2:5" x14ac:dyDescent="0.3">
      <c r="B613" s="457">
        <v>579</v>
      </c>
      <c r="C613" s="18">
        <f t="shared" si="32"/>
        <v>9.65</v>
      </c>
      <c r="D613" s="18">
        <f t="shared" si="33"/>
        <v>21.858827351571541</v>
      </c>
      <c r="E613" s="18">
        <f t="shared" si="34"/>
        <v>36.357680693829579</v>
      </c>
    </row>
    <row r="614" spans="2:5" x14ac:dyDescent="0.3">
      <c r="B614" s="457">
        <v>580</v>
      </c>
      <c r="C614" s="18">
        <f t="shared" si="32"/>
        <v>9.6666666666666661</v>
      </c>
      <c r="D614" s="18">
        <f t="shared" si="33"/>
        <v>21.858828707400168</v>
      </c>
      <c r="E614" s="18">
        <f t="shared" si="34"/>
        <v>36.357692625121473</v>
      </c>
    </row>
    <row r="615" spans="2:5" x14ac:dyDescent="0.3">
      <c r="B615" s="457">
        <v>581</v>
      </c>
      <c r="C615" s="18">
        <f t="shared" si="32"/>
        <v>9.6833333333333336</v>
      </c>
      <c r="D615" s="18">
        <f t="shared" si="33"/>
        <v>21.858830039850332</v>
      </c>
      <c r="E615" s="18">
        <f t="shared" si="34"/>
        <v>36.35770435068293</v>
      </c>
    </row>
    <row r="616" spans="2:5" x14ac:dyDescent="0.3">
      <c r="B616" s="457">
        <v>582</v>
      </c>
      <c r="C616" s="18">
        <f t="shared" si="32"/>
        <v>9.6999999999999993</v>
      </c>
      <c r="D616" s="18">
        <f t="shared" si="33"/>
        <v>21.858831349325154</v>
      </c>
      <c r="E616" s="18">
        <f t="shared" si="34"/>
        <v>36.357715874061356</v>
      </c>
    </row>
    <row r="617" spans="2:5" x14ac:dyDescent="0.3">
      <c r="B617" s="457">
        <v>583</v>
      </c>
      <c r="C617" s="18">
        <f t="shared" si="32"/>
        <v>9.7166666666666668</v>
      </c>
      <c r="D617" s="18">
        <f t="shared" si="33"/>
        <v>21.858832636220789</v>
      </c>
      <c r="E617" s="18">
        <f t="shared" si="34"/>
        <v>36.357727198742964</v>
      </c>
    </row>
    <row r="618" spans="2:5" x14ac:dyDescent="0.3">
      <c r="B618" s="457">
        <v>584</v>
      </c>
      <c r="C618" s="18">
        <f t="shared" si="32"/>
        <v>9.7333333333333325</v>
      </c>
      <c r="D618" s="18">
        <f t="shared" si="33"/>
        <v>21.858833900926577</v>
      </c>
      <c r="E618" s="18">
        <f t="shared" si="34"/>
        <v>36.357738328153872</v>
      </c>
    </row>
    <row r="619" spans="2:5" x14ac:dyDescent="0.3">
      <c r="B619" s="457">
        <v>585</v>
      </c>
      <c r="C619" s="18">
        <f t="shared" si="32"/>
        <v>9.75</v>
      </c>
      <c r="D619" s="18">
        <f t="shared" si="33"/>
        <v>21.858835143825129</v>
      </c>
      <c r="E619" s="18">
        <f t="shared" si="34"/>
        <v>36.357749265661127</v>
      </c>
    </row>
    <row r="620" spans="2:5" x14ac:dyDescent="0.3">
      <c r="B620" s="457">
        <v>586</v>
      </c>
      <c r="C620" s="18">
        <f t="shared" si="32"/>
        <v>9.7666666666666675</v>
      </c>
      <c r="D620" s="18">
        <f t="shared" si="33"/>
        <v>21.858836365292468</v>
      </c>
      <c r="E620" s="18">
        <f t="shared" si="34"/>
        <v>36.357760014573714</v>
      </c>
    </row>
    <row r="621" spans="2:5" x14ac:dyDescent="0.3">
      <c r="B621" s="457">
        <v>587</v>
      </c>
      <c r="C621" s="18">
        <f t="shared" si="32"/>
        <v>9.7833333333333332</v>
      </c>
      <c r="D621" s="18">
        <f t="shared" si="33"/>
        <v>21.858837565698128</v>
      </c>
      <c r="E621" s="18">
        <f t="shared" si="34"/>
        <v>36.357770578143537</v>
      </c>
    </row>
    <row r="622" spans="2:5" x14ac:dyDescent="0.3">
      <c r="B622" s="457">
        <v>588</v>
      </c>
      <c r="C622" s="18">
        <f t="shared" si="32"/>
        <v>9.8000000000000007</v>
      </c>
      <c r="D622" s="18">
        <f t="shared" si="33"/>
        <v>21.858838745405279</v>
      </c>
      <c r="E622" s="18">
        <f t="shared" si="34"/>
        <v>36.357780959566469</v>
      </c>
    </row>
    <row r="623" spans="2:5" x14ac:dyDescent="0.3">
      <c r="B623" s="457">
        <v>589</v>
      </c>
      <c r="C623" s="18">
        <f t="shared" si="32"/>
        <v>9.8166666666666664</v>
      </c>
      <c r="D623" s="18">
        <f t="shared" si="33"/>
        <v>21.858839904770822</v>
      </c>
      <c r="E623" s="18">
        <f t="shared" si="34"/>
        <v>36.357791161983243</v>
      </c>
    </row>
    <row r="624" spans="2:5" x14ac:dyDescent="0.3">
      <c r="B624" s="457">
        <v>590</v>
      </c>
      <c r="C624" s="18">
        <f t="shared" si="32"/>
        <v>9.8333333333333339</v>
      </c>
      <c r="D624" s="18">
        <f t="shared" si="33"/>
        <v>21.858841044145507</v>
      </c>
      <c r="E624" s="18">
        <f t="shared" si="34"/>
        <v>36.357801188480465</v>
      </c>
    </row>
    <row r="625" spans="2:5" x14ac:dyDescent="0.3">
      <c r="B625" s="457">
        <v>591</v>
      </c>
      <c r="C625" s="18">
        <f t="shared" si="32"/>
        <v>9.85</v>
      </c>
      <c r="D625" s="18">
        <f t="shared" si="33"/>
        <v>21.858842163874034</v>
      </c>
      <c r="E625" s="18">
        <f t="shared" si="34"/>
        <v>36.357811042091484</v>
      </c>
    </row>
    <row r="626" spans="2:5" x14ac:dyDescent="0.3">
      <c r="B626" s="457">
        <v>592</v>
      </c>
      <c r="C626" s="18">
        <f t="shared" si="32"/>
        <v>9.8666666666666671</v>
      </c>
      <c r="D626" s="18">
        <f t="shared" si="33"/>
        <v>21.858843264295157</v>
      </c>
      <c r="E626" s="18">
        <f t="shared" si="34"/>
        <v>36.357820725797374</v>
      </c>
    </row>
    <row r="627" spans="2:5" x14ac:dyDescent="0.3">
      <c r="B627" s="457">
        <v>593</v>
      </c>
      <c r="C627" s="18">
        <f t="shared" si="32"/>
        <v>9.8833333333333329</v>
      </c>
      <c r="D627" s="18">
        <f t="shared" si="33"/>
        <v>21.858844345741797</v>
      </c>
      <c r="E627" s="18">
        <f t="shared" si="34"/>
        <v>36.357830242527804</v>
      </c>
    </row>
    <row r="628" spans="2:5" x14ac:dyDescent="0.3">
      <c r="B628" s="457">
        <v>594</v>
      </c>
      <c r="C628" s="18">
        <f t="shared" si="32"/>
        <v>9.9</v>
      </c>
      <c r="D628" s="18">
        <f t="shared" si="33"/>
        <v>21.858845408541125</v>
      </c>
      <c r="E628" s="18">
        <f t="shared" si="34"/>
        <v>36.357839595161913</v>
      </c>
    </row>
    <row r="629" spans="2:5" x14ac:dyDescent="0.3">
      <c r="B629" s="457">
        <v>595</v>
      </c>
      <c r="C629" s="18">
        <f t="shared" si="32"/>
        <v>9.9166666666666661</v>
      </c>
      <c r="D629" s="18">
        <f t="shared" si="33"/>
        <v>21.858846453014682</v>
      </c>
      <c r="E629" s="18">
        <f t="shared" si="34"/>
        <v>36.357848786529203</v>
      </c>
    </row>
    <row r="630" spans="2:5" x14ac:dyDescent="0.3">
      <c r="B630" s="457">
        <v>596</v>
      </c>
      <c r="C630" s="18">
        <f t="shared" si="32"/>
        <v>9.9333333333333336</v>
      </c>
      <c r="D630" s="18">
        <f t="shared" si="33"/>
        <v>21.858847479478452</v>
      </c>
      <c r="E630" s="18">
        <f t="shared" si="34"/>
        <v>36.357857819410384</v>
      </c>
    </row>
    <row r="631" spans="2:5" x14ac:dyDescent="0.3">
      <c r="B631" s="457">
        <v>597</v>
      </c>
      <c r="C631" s="18">
        <f t="shared" si="32"/>
        <v>9.9499999999999993</v>
      </c>
      <c r="D631" s="18">
        <f t="shared" si="33"/>
        <v>21.85884848824298</v>
      </c>
      <c r="E631" s="18">
        <f t="shared" si="34"/>
        <v>36.357866696538224</v>
      </c>
    </row>
    <row r="632" spans="2:5" x14ac:dyDescent="0.3">
      <c r="B632" s="457">
        <v>598</v>
      </c>
      <c r="C632" s="18">
        <f t="shared" si="32"/>
        <v>9.9666666666666668</v>
      </c>
      <c r="D632" s="18">
        <f t="shared" si="33"/>
        <v>21.85884947961345</v>
      </c>
      <c r="E632" s="18">
        <f t="shared" si="34"/>
        <v>36.357875420598376</v>
      </c>
    </row>
    <row r="633" spans="2:5" x14ac:dyDescent="0.3">
      <c r="B633" s="457">
        <v>599</v>
      </c>
      <c r="C633" s="18">
        <f t="shared" si="32"/>
        <v>9.9833333333333325</v>
      </c>
      <c r="D633" s="18">
        <f t="shared" si="33"/>
        <v>21.85885045388979</v>
      </c>
      <c r="E633" s="18">
        <f t="shared" si="34"/>
        <v>36.35788399423015</v>
      </c>
    </row>
    <row r="634" spans="2:5" x14ac:dyDescent="0.3">
      <c r="B634" s="457">
        <v>600</v>
      </c>
      <c r="C634" s="18">
        <f t="shared" si="32"/>
        <v>10</v>
      </c>
      <c r="D634" s="18">
        <f t="shared" si="33"/>
        <v>21.85885141136675</v>
      </c>
      <c r="E634" s="18">
        <f t="shared" si="34"/>
        <v>36.357892420027397</v>
      </c>
    </row>
    <row r="635" spans="2:5" x14ac:dyDescent="0.3">
      <c r="B635" s="457">
        <v>601</v>
      </c>
      <c r="C635" s="18">
        <f t="shared" si="32"/>
        <v>10.016666666666667</v>
      </c>
      <c r="D635" s="18">
        <f t="shared" si="33"/>
        <v>21.858852352334001</v>
      </c>
      <c r="E635" s="18">
        <f t="shared" si="34"/>
        <v>36.357900700539219</v>
      </c>
    </row>
    <row r="636" spans="2:5" x14ac:dyDescent="0.3">
      <c r="B636" s="457">
        <v>602</v>
      </c>
      <c r="C636" s="18">
        <f t="shared" si="32"/>
        <v>10.033333333333333</v>
      </c>
      <c r="D636" s="18">
        <f t="shared" si="33"/>
        <v>21.858853277076221</v>
      </c>
      <c r="E636" s="18">
        <f t="shared" si="34"/>
        <v>36.357908838270738</v>
      </c>
    </row>
    <row r="637" spans="2:5" x14ac:dyDescent="0.3">
      <c r="B637" s="457">
        <v>603</v>
      </c>
      <c r="C637" s="18">
        <f t="shared" si="32"/>
        <v>10.050000000000001</v>
      </c>
      <c r="D637" s="18">
        <f t="shared" si="33"/>
        <v>21.858854185873174</v>
      </c>
      <c r="E637" s="18">
        <f t="shared" si="34"/>
        <v>36.357916835683923</v>
      </c>
    </row>
    <row r="638" spans="2:5" x14ac:dyDescent="0.3">
      <c r="B638" s="457">
        <v>604</v>
      </c>
      <c r="C638" s="18">
        <f t="shared" si="32"/>
        <v>10.066666666666666</v>
      </c>
      <c r="D638" s="18">
        <f t="shared" si="33"/>
        <v>21.858855078999802</v>
      </c>
      <c r="E638" s="18">
        <f t="shared" si="34"/>
        <v>36.357924695198278</v>
      </c>
    </row>
    <row r="639" spans="2:5" x14ac:dyDescent="0.3">
      <c r="B639" s="457">
        <v>605</v>
      </c>
      <c r="C639" s="18">
        <f t="shared" si="32"/>
        <v>10.083333333333334</v>
      </c>
      <c r="D639" s="18">
        <f t="shared" si="33"/>
        <v>21.858855956726313</v>
      </c>
      <c r="E639" s="18">
        <f t="shared" si="34"/>
        <v>36.357932419191563</v>
      </c>
    </row>
    <row r="640" spans="2:5" x14ac:dyDescent="0.3">
      <c r="B640" s="457">
        <v>606</v>
      </c>
      <c r="C640" s="18">
        <f t="shared" si="32"/>
        <v>10.1</v>
      </c>
      <c r="D640" s="18">
        <f t="shared" si="33"/>
        <v>21.858856819318248</v>
      </c>
      <c r="E640" s="18">
        <f t="shared" si="34"/>
        <v>36.357940010000576</v>
      </c>
    </row>
    <row r="641" spans="2:5" x14ac:dyDescent="0.3">
      <c r="B641" s="457">
        <v>607</v>
      </c>
      <c r="C641" s="18">
        <f t="shared" si="32"/>
        <v>10.116666666666667</v>
      </c>
      <c r="D641" s="18">
        <f t="shared" si="33"/>
        <v>21.858857667036567</v>
      </c>
      <c r="E641" s="18">
        <f t="shared" si="34"/>
        <v>36.357947469921797</v>
      </c>
    </row>
    <row r="642" spans="2:5" x14ac:dyDescent="0.3">
      <c r="B642" s="457">
        <v>608</v>
      </c>
      <c r="C642" s="18">
        <f t="shared" si="32"/>
        <v>10.133333333333333</v>
      </c>
      <c r="D642" s="18">
        <f t="shared" si="33"/>
        <v>21.858858500137739</v>
      </c>
      <c r="E642" s="18">
        <f t="shared" si="34"/>
        <v>36.357954801212109</v>
      </c>
    </row>
    <row r="643" spans="2:5" x14ac:dyDescent="0.3">
      <c r="B643" s="457">
        <v>609</v>
      </c>
      <c r="C643" s="18">
        <f t="shared" si="32"/>
        <v>10.15</v>
      </c>
      <c r="D643" s="18">
        <f t="shared" si="33"/>
        <v>21.858859318873808</v>
      </c>
      <c r="E643" s="18">
        <f t="shared" si="34"/>
        <v>36.357962006089501</v>
      </c>
    </row>
    <row r="644" spans="2:5" x14ac:dyDescent="0.3">
      <c r="B644" s="457">
        <v>610</v>
      </c>
      <c r="C644" s="18">
        <f t="shared" si="32"/>
        <v>10.166666666666666</v>
      </c>
      <c r="D644" s="18">
        <f t="shared" si="33"/>
        <v>21.858860123492466</v>
      </c>
      <c r="E644" s="18">
        <f t="shared" si="34"/>
        <v>36.357969086733689</v>
      </c>
    </row>
    <row r="645" spans="2:5" x14ac:dyDescent="0.3">
      <c r="B645" s="457">
        <v>611</v>
      </c>
      <c r="C645" s="18">
        <f t="shared" si="32"/>
        <v>10.183333333333334</v>
      </c>
      <c r="D645" s="18">
        <f t="shared" si="33"/>
        <v>21.858860914237141</v>
      </c>
      <c r="E645" s="18">
        <f t="shared" si="34"/>
        <v>36.357976045286833</v>
      </c>
    </row>
    <row r="646" spans="2:5" x14ac:dyDescent="0.3">
      <c r="B646" s="457">
        <v>612</v>
      </c>
      <c r="C646" s="18">
        <f t="shared" si="32"/>
        <v>10.199999999999999</v>
      </c>
      <c r="D646" s="18">
        <f t="shared" si="33"/>
        <v>21.858861691347059</v>
      </c>
      <c r="E646" s="18">
        <f t="shared" si="34"/>
        <v>36.35798288385412</v>
      </c>
    </row>
    <row r="647" spans="2:5" x14ac:dyDescent="0.3">
      <c r="B647" s="457">
        <v>613</v>
      </c>
      <c r="C647" s="18">
        <f t="shared" si="32"/>
        <v>10.216666666666667</v>
      </c>
      <c r="D647" s="18">
        <f t="shared" si="33"/>
        <v>21.858862455057327</v>
      </c>
      <c r="E647" s="18">
        <f t="shared" si="34"/>
        <v>36.357989604504468</v>
      </c>
    </row>
    <row r="648" spans="2:5" x14ac:dyDescent="0.3">
      <c r="B648" s="457">
        <v>614</v>
      </c>
      <c r="C648" s="18">
        <f t="shared" si="32"/>
        <v>10.233333333333333</v>
      </c>
      <c r="D648" s="18">
        <f t="shared" si="33"/>
        <v>21.85886320559899</v>
      </c>
      <c r="E648" s="18">
        <f t="shared" si="34"/>
        <v>36.357996209271107</v>
      </c>
    </row>
    <row r="649" spans="2:5" x14ac:dyDescent="0.3">
      <c r="B649" s="457">
        <v>615</v>
      </c>
      <c r="C649" s="18">
        <f t="shared" si="32"/>
        <v>10.25</v>
      </c>
      <c r="D649" s="18">
        <f t="shared" si="33"/>
        <v>21.858863943199115</v>
      </c>
      <c r="E649" s="18">
        <f t="shared" si="34"/>
        <v>36.35800270015222</v>
      </c>
    </row>
    <row r="650" spans="2:5" x14ac:dyDescent="0.3">
      <c r="B650" s="457">
        <v>616</v>
      </c>
      <c r="C650" s="18">
        <f t="shared" si="32"/>
        <v>10.266666666666667</v>
      </c>
      <c r="D650" s="18">
        <f t="shared" si="33"/>
        <v>21.858864668080855</v>
      </c>
      <c r="E650" s="18">
        <f t="shared" si="34"/>
        <v>36.358009079111525</v>
      </c>
    </row>
    <row r="651" spans="2:5" x14ac:dyDescent="0.3">
      <c r="B651" s="457">
        <v>617</v>
      </c>
      <c r="C651" s="18">
        <f t="shared" si="32"/>
        <v>10.283333333333333</v>
      </c>
      <c r="D651" s="18">
        <f t="shared" si="33"/>
        <v>21.858865380463509</v>
      </c>
      <c r="E651" s="18">
        <f t="shared" si="34"/>
        <v>36.358015348078872</v>
      </c>
    </row>
    <row r="652" spans="2:5" x14ac:dyDescent="0.3">
      <c r="B652" s="457">
        <v>618</v>
      </c>
      <c r="C652" s="18">
        <f t="shared" si="32"/>
        <v>10.3</v>
      </c>
      <c r="D652" s="18">
        <f t="shared" si="33"/>
        <v>21.858866080562596</v>
      </c>
      <c r="E652" s="18">
        <f t="shared" si="34"/>
        <v>36.358021508950856</v>
      </c>
    </row>
    <row r="653" spans="2:5" x14ac:dyDescent="0.3">
      <c r="B653" s="457">
        <v>619</v>
      </c>
      <c r="C653" s="18">
        <f t="shared" si="32"/>
        <v>10.316666666666666</v>
      </c>
      <c r="D653" s="18">
        <f t="shared" si="33"/>
        <v>21.858866768589927</v>
      </c>
      <c r="E653" s="18">
        <f t="shared" si="34"/>
        <v>36.358027563591349</v>
      </c>
    </row>
    <row r="654" spans="2:5" x14ac:dyDescent="0.3">
      <c r="B654" s="457">
        <v>620</v>
      </c>
      <c r="C654" s="18">
        <f t="shared" si="32"/>
        <v>10.333333333333334</v>
      </c>
      <c r="D654" s="18">
        <f t="shared" si="33"/>
        <v>21.858867444753649</v>
      </c>
      <c r="E654" s="18">
        <f t="shared" si="34"/>
        <v>36.358033513832105</v>
      </c>
    </row>
    <row r="655" spans="2:5" x14ac:dyDescent="0.3">
      <c r="B655" s="457">
        <v>621</v>
      </c>
      <c r="C655" s="18">
        <f t="shared" si="32"/>
        <v>10.35</v>
      </c>
      <c r="D655" s="18">
        <f t="shared" si="33"/>
        <v>21.858868109258324</v>
      </c>
      <c r="E655" s="18">
        <f t="shared" si="34"/>
        <v>36.358039361473274</v>
      </c>
    </row>
    <row r="656" spans="2:5" x14ac:dyDescent="0.3">
      <c r="B656" s="457">
        <v>622</v>
      </c>
      <c r="C656" s="18">
        <f t="shared" si="32"/>
        <v>10.366666666666667</v>
      </c>
      <c r="D656" s="18">
        <f t="shared" si="33"/>
        <v>21.858868762304997</v>
      </c>
      <c r="E656" s="18">
        <f t="shared" si="34"/>
        <v>36.35804510828396</v>
      </c>
    </row>
    <row r="657" spans="2:5" x14ac:dyDescent="0.3">
      <c r="B657" s="457">
        <v>623</v>
      </c>
      <c r="C657" s="18">
        <f t="shared" si="32"/>
        <v>10.383333333333333</v>
      </c>
      <c r="D657" s="18">
        <f t="shared" si="33"/>
        <v>21.858869404091227</v>
      </c>
      <c r="E657" s="18">
        <f t="shared" si="34"/>
        <v>36.358050756002804</v>
      </c>
    </row>
    <row r="658" spans="2:5" x14ac:dyDescent="0.3">
      <c r="B658" s="457">
        <v>624</v>
      </c>
      <c r="C658" s="18">
        <f t="shared" si="32"/>
        <v>10.4</v>
      </c>
      <c r="D658" s="18">
        <f t="shared" si="33"/>
        <v>21.858870034811183</v>
      </c>
      <c r="E658" s="18">
        <f t="shared" si="34"/>
        <v>36.358056306338426</v>
      </c>
    </row>
    <row r="659" spans="2:5" x14ac:dyDescent="0.3">
      <c r="B659" s="457">
        <v>625</v>
      </c>
      <c r="C659" s="18">
        <f t="shared" si="32"/>
        <v>10.416666666666666</v>
      </c>
      <c r="D659" s="18">
        <f t="shared" si="33"/>
        <v>21.858870654655679</v>
      </c>
      <c r="E659" s="18">
        <f t="shared" si="34"/>
        <v>36.358061760969989</v>
      </c>
    </row>
    <row r="660" spans="2:5" x14ac:dyDescent="0.3">
      <c r="B660" s="457">
        <v>626</v>
      </c>
      <c r="C660" s="18">
        <f t="shared" si="32"/>
        <v>10.433333333333334</v>
      </c>
      <c r="D660" s="18">
        <f t="shared" si="33"/>
        <v>21.85887126381224</v>
      </c>
      <c r="E660" s="18">
        <f t="shared" si="34"/>
        <v>36.35806712154772</v>
      </c>
    </row>
    <row r="661" spans="2:5" x14ac:dyDescent="0.3">
      <c r="B661" s="457">
        <v>627</v>
      </c>
      <c r="C661" s="18">
        <f t="shared" si="32"/>
        <v>10.45</v>
      </c>
      <c r="D661" s="18">
        <f t="shared" si="33"/>
        <v>21.858871862465158</v>
      </c>
      <c r="E661" s="18">
        <f t="shared" si="34"/>
        <v>36.35807238969339</v>
      </c>
    </row>
    <row r="662" spans="2:5" x14ac:dyDescent="0.3">
      <c r="B662" s="457">
        <v>628</v>
      </c>
      <c r="C662" s="18">
        <f t="shared" si="32"/>
        <v>10.466666666666667</v>
      </c>
      <c r="D662" s="18">
        <f t="shared" si="33"/>
        <v>21.858872450795545</v>
      </c>
      <c r="E662" s="18">
        <f t="shared" si="34"/>
        <v>36.358077567000784</v>
      </c>
    </row>
    <row r="663" spans="2:5" x14ac:dyDescent="0.3">
      <c r="B663" s="457">
        <v>629</v>
      </c>
      <c r="C663" s="18">
        <f t="shared" si="32"/>
        <v>10.483333333333333</v>
      </c>
      <c r="D663" s="18">
        <f t="shared" si="33"/>
        <v>21.858873028981389</v>
      </c>
      <c r="E663" s="18">
        <f t="shared" si="34"/>
        <v>36.358082655036227</v>
      </c>
    </row>
    <row r="664" spans="2:5" x14ac:dyDescent="0.3">
      <c r="B664" s="457">
        <v>630</v>
      </c>
      <c r="C664" s="18">
        <f t="shared" si="32"/>
        <v>10.5</v>
      </c>
      <c r="D664" s="18">
        <f t="shared" si="33"/>
        <v>21.858873597197618</v>
      </c>
      <c r="E664" s="18">
        <f t="shared" si="34"/>
        <v>36.358087655339034</v>
      </c>
    </row>
    <row r="665" spans="2:5" x14ac:dyDescent="0.3">
      <c r="B665" s="457">
        <v>631</v>
      </c>
      <c r="C665" s="18">
        <f t="shared" si="32"/>
        <v>10.516666666666667</v>
      </c>
      <c r="D665" s="18">
        <f t="shared" si="33"/>
        <v>21.858874155616132</v>
      </c>
      <c r="E665" s="18">
        <f t="shared" si="34"/>
        <v>36.35809256942197</v>
      </c>
    </row>
    <row r="666" spans="2:5" x14ac:dyDescent="0.3">
      <c r="B666" s="457">
        <v>632</v>
      </c>
      <c r="C666" s="18">
        <f t="shared" si="32"/>
        <v>10.533333333333333</v>
      </c>
      <c r="D666" s="18">
        <f t="shared" si="33"/>
        <v>21.858874704405878</v>
      </c>
      <c r="E666" s="18">
        <f t="shared" si="34"/>
        <v>36.358097398771704</v>
      </c>
    </row>
    <row r="667" spans="2:5" x14ac:dyDescent="0.3">
      <c r="B667" s="457">
        <v>633</v>
      </c>
      <c r="C667" s="18">
        <f t="shared" si="32"/>
        <v>10.55</v>
      </c>
      <c r="D667" s="18">
        <f t="shared" si="33"/>
        <v>21.858875243732875</v>
      </c>
      <c r="E667" s="18">
        <f t="shared" si="34"/>
        <v>36.358102144849312</v>
      </c>
    </row>
    <row r="668" spans="2:5" x14ac:dyDescent="0.3">
      <c r="B668" s="457">
        <v>634</v>
      </c>
      <c r="C668" s="18">
        <f t="shared" si="32"/>
        <v>10.566666666666666</v>
      </c>
      <c r="D668" s="18">
        <f t="shared" si="33"/>
        <v>21.8588757737603</v>
      </c>
      <c r="E668" s="18">
        <f t="shared" si="34"/>
        <v>36.358106809090629</v>
      </c>
    </row>
    <row r="669" spans="2:5" x14ac:dyDescent="0.3">
      <c r="B669" s="457">
        <v>635</v>
      </c>
      <c r="C669" s="18">
        <f t="shared" si="32"/>
        <v>10.583333333333334</v>
      </c>
      <c r="D669" s="18">
        <f t="shared" si="33"/>
        <v>21.858876294648496</v>
      </c>
      <c r="E669" s="18">
        <f t="shared" si="34"/>
        <v>36.35811139290675</v>
      </c>
    </row>
    <row r="670" spans="2:5" x14ac:dyDescent="0.3">
      <c r="B670" s="457">
        <v>636</v>
      </c>
      <c r="C670" s="18">
        <f t="shared" si="32"/>
        <v>10.6</v>
      </c>
      <c r="D670" s="18">
        <f t="shared" si="33"/>
        <v>21.858876806555052</v>
      </c>
      <c r="E670" s="18">
        <f t="shared" si="34"/>
        <v>36.358115897684456</v>
      </c>
    </row>
    <row r="671" spans="2:5" x14ac:dyDescent="0.3">
      <c r="B671" s="457">
        <v>637</v>
      </c>
      <c r="C671" s="18">
        <f t="shared" si="32"/>
        <v>10.616666666666667</v>
      </c>
      <c r="D671" s="18">
        <f t="shared" si="33"/>
        <v>21.858877309634842</v>
      </c>
      <c r="E671" s="18">
        <f t="shared" si="34"/>
        <v>36.358120324786597</v>
      </c>
    </row>
    <row r="672" spans="2:5" x14ac:dyDescent="0.3">
      <c r="B672" s="457">
        <v>638</v>
      </c>
      <c r="C672" s="18">
        <f t="shared" si="32"/>
        <v>10.633333333333333</v>
      </c>
      <c r="D672" s="18">
        <f t="shared" si="33"/>
        <v>21.858877804040059</v>
      </c>
      <c r="E672" s="18">
        <f t="shared" si="34"/>
        <v>36.358124675552517</v>
      </c>
    </row>
    <row r="673" spans="2:5" x14ac:dyDescent="0.3">
      <c r="B673" s="457">
        <v>639</v>
      </c>
      <c r="C673" s="18">
        <f t="shared" si="32"/>
        <v>10.65</v>
      </c>
      <c r="D673" s="18">
        <f t="shared" si="33"/>
        <v>21.858878289920284</v>
      </c>
      <c r="E673" s="18">
        <f t="shared" si="34"/>
        <v>36.35812895129849</v>
      </c>
    </row>
    <row r="674" spans="2:5" x14ac:dyDescent="0.3">
      <c r="B674" s="457">
        <v>640</v>
      </c>
      <c r="C674" s="18">
        <f t="shared" si="32"/>
        <v>10.666666666666666</v>
      </c>
      <c r="D674" s="18">
        <f t="shared" si="33"/>
        <v>21.858878767422507</v>
      </c>
      <c r="E674" s="18">
        <f t="shared" si="34"/>
        <v>36.358133153318065</v>
      </c>
    </row>
    <row r="675" spans="2:5" x14ac:dyDescent="0.3">
      <c r="B675" s="457">
        <v>641</v>
      </c>
      <c r="C675" s="18">
        <f t="shared" si="32"/>
        <v>10.683333333333334</v>
      </c>
      <c r="D675" s="18">
        <f t="shared" si="33"/>
        <v>21.858879236691195</v>
      </c>
      <c r="E675" s="18">
        <f t="shared" si="34"/>
        <v>36.358137282882517</v>
      </c>
    </row>
    <row r="676" spans="2:5" x14ac:dyDescent="0.3">
      <c r="B676" s="457">
        <v>642</v>
      </c>
      <c r="C676" s="18">
        <f t="shared" ref="C676:C739" si="35">B676/60</f>
        <v>10.7</v>
      </c>
      <c r="D676" s="18">
        <f t="shared" ref="D676:D739" si="36">$I$32+$G$27/$A$32/$D$32*(1-EXP(-B676/($G$32*$H$32/$A$32/$D$32)))</f>
        <v>21.858879697868314</v>
      </c>
      <c r="E676" s="18">
        <f t="shared" ref="E676:E739" si="37">$I$32+$G$27/$A$32/$E$32*(1-EXP(-B676/($G$32*$H$32/$A$32/$D$32)))</f>
        <v>36.358141341241172</v>
      </c>
    </row>
    <row r="677" spans="2:5" x14ac:dyDescent="0.3">
      <c r="B677" s="457">
        <v>643</v>
      </c>
      <c r="C677" s="18">
        <f t="shared" si="35"/>
        <v>10.716666666666667</v>
      </c>
      <c r="D677" s="18">
        <f t="shared" si="36"/>
        <v>21.858880151093391</v>
      </c>
      <c r="E677" s="18">
        <f t="shared" si="37"/>
        <v>36.358145329621834</v>
      </c>
    </row>
    <row r="678" spans="2:5" x14ac:dyDescent="0.3">
      <c r="B678" s="457">
        <v>644</v>
      </c>
      <c r="C678" s="18">
        <f t="shared" si="35"/>
        <v>10.733333333333333</v>
      </c>
      <c r="D678" s="18">
        <f t="shared" si="36"/>
        <v>21.858880596503536</v>
      </c>
      <c r="E678" s="18">
        <f t="shared" si="37"/>
        <v>36.358149249231126</v>
      </c>
    </row>
    <row r="679" spans="2:5" x14ac:dyDescent="0.3">
      <c r="B679" s="457">
        <v>645</v>
      </c>
      <c r="C679" s="18">
        <f t="shared" si="35"/>
        <v>10.75</v>
      </c>
      <c r="D679" s="18">
        <f t="shared" si="36"/>
        <v>21.858881034233509</v>
      </c>
      <c r="E679" s="18">
        <f t="shared" si="37"/>
        <v>36.358153101254864</v>
      </c>
    </row>
    <row r="680" spans="2:5" x14ac:dyDescent="0.3">
      <c r="B680" s="457">
        <v>646</v>
      </c>
      <c r="C680" s="18">
        <f t="shared" si="35"/>
        <v>10.766666666666667</v>
      </c>
      <c r="D680" s="18">
        <f t="shared" si="36"/>
        <v>21.858881464415731</v>
      </c>
      <c r="E680" s="18">
        <f t="shared" si="37"/>
        <v>36.358156886858424</v>
      </c>
    </row>
    <row r="681" spans="2:5" x14ac:dyDescent="0.3">
      <c r="B681" s="457">
        <v>647</v>
      </c>
      <c r="C681" s="18">
        <f t="shared" si="35"/>
        <v>10.783333333333333</v>
      </c>
      <c r="D681" s="18">
        <f t="shared" si="36"/>
        <v>21.858881887180353</v>
      </c>
      <c r="E681" s="18">
        <f t="shared" si="37"/>
        <v>36.358160607187095</v>
      </c>
    </row>
    <row r="682" spans="2:5" x14ac:dyDescent="0.3">
      <c r="B682" s="457">
        <v>648</v>
      </c>
      <c r="C682" s="18">
        <f t="shared" si="35"/>
        <v>10.8</v>
      </c>
      <c r="D682" s="18">
        <f t="shared" si="36"/>
        <v>21.858882302655271</v>
      </c>
      <c r="E682" s="18">
        <f t="shared" si="37"/>
        <v>36.35816426336639</v>
      </c>
    </row>
    <row r="683" spans="2:5" x14ac:dyDescent="0.3">
      <c r="B683" s="457">
        <v>649</v>
      </c>
      <c r="C683" s="18">
        <f t="shared" si="35"/>
        <v>10.816666666666666</v>
      </c>
      <c r="D683" s="18">
        <f t="shared" si="36"/>
        <v>21.858882710966185</v>
      </c>
      <c r="E683" s="18">
        <f t="shared" si="37"/>
        <v>36.358167856502448</v>
      </c>
    </row>
    <row r="684" spans="2:5" x14ac:dyDescent="0.3">
      <c r="B684" s="457">
        <v>650</v>
      </c>
      <c r="C684" s="18">
        <f t="shared" si="35"/>
        <v>10.833333333333334</v>
      </c>
      <c r="D684" s="18">
        <f t="shared" si="36"/>
        <v>21.858883112236626</v>
      </c>
      <c r="E684" s="18">
        <f t="shared" si="37"/>
        <v>36.358171387682304</v>
      </c>
    </row>
    <row r="685" spans="2:5" x14ac:dyDescent="0.3">
      <c r="B685" s="457">
        <v>651</v>
      </c>
      <c r="C685" s="18">
        <f t="shared" si="35"/>
        <v>10.85</v>
      </c>
      <c r="D685" s="18">
        <f t="shared" si="36"/>
        <v>21.858883506587986</v>
      </c>
      <c r="E685" s="18">
        <f t="shared" si="37"/>
        <v>36.358174857974269</v>
      </c>
    </row>
    <row r="686" spans="2:5" x14ac:dyDescent="0.3">
      <c r="B686" s="457">
        <v>652</v>
      </c>
      <c r="C686" s="18">
        <f t="shared" si="35"/>
        <v>10.866666666666667</v>
      </c>
      <c r="D686" s="18">
        <f t="shared" si="36"/>
        <v>21.858883894139574</v>
      </c>
      <c r="E686" s="18">
        <f t="shared" si="37"/>
        <v>36.358178268428233</v>
      </c>
    </row>
    <row r="687" spans="2:5" x14ac:dyDescent="0.3">
      <c r="B687" s="457">
        <v>653</v>
      </c>
      <c r="C687" s="18">
        <f t="shared" si="35"/>
        <v>10.883333333333333</v>
      </c>
      <c r="D687" s="18">
        <f t="shared" si="36"/>
        <v>21.858884275008634</v>
      </c>
      <c r="E687" s="18">
        <f t="shared" si="37"/>
        <v>36.358181620075982</v>
      </c>
    </row>
    <row r="688" spans="2:5" x14ac:dyDescent="0.3">
      <c r="B688" s="457">
        <v>654</v>
      </c>
      <c r="C688" s="18">
        <f t="shared" si="35"/>
        <v>10.9</v>
      </c>
      <c r="D688" s="18">
        <f t="shared" si="36"/>
        <v>21.858884649310397</v>
      </c>
      <c r="E688" s="18">
        <f t="shared" si="37"/>
        <v>36.358184913931503</v>
      </c>
    </row>
    <row r="689" spans="2:5" x14ac:dyDescent="0.3">
      <c r="B689" s="457">
        <v>655</v>
      </c>
      <c r="C689" s="18">
        <f t="shared" si="35"/>
        <v>10.916666666666666</v>
      </c>
      <c r="D689" s="18">
        <f t="shared" si="36"/>
        <v>21.858885017158102</v>
      </c>
      <c r="E689" s="18">
        <f t="shared" si="37"/>
        <v>36.358188150991296</v>
      </c>
    </row>
    <row r="690" spans="2:5" x14ac:dyDescent="0.3">
      <c r="B690" s="457">
        <v>656</v>
      </c>
      <c r="C690" s="18">
        <f t="shared" si="35"/>
        <v>10.933333333333334</v>
      </c>
      <c r="D690" s="18">
        <f t="shared" si="36"/>
        <v>21.858885378663032</v>
      </c>
      <c r="E690" s="18">
        <f t="shared" si="37"/>
        <v>36.358191332234696</v>
      </c>
    </row>
    <row r="691" spans="2:5" x14ac:dyDescent="0.3">
      <c r="B691" s="457">
        <v>657</v>
      </c>
      <c r="C691" s="18">
        <f t="shared" si="35"/>
        <v>10.95</v>
      </c>
      <c r="D691" s="18">
        <f t="shared" si="36"/>
        <v>21.85888573393456</v>
      </c>
      <c r="E691" s="18">
        <f t="shared" si="37"/>
        <v>36.358194458624141</v>
      </c>
    </row>
    <row r="692" spans="2:5" x14ac:dyDescent="0.3">
      <c r="B692" s="457">
        <v>658</v>
      </c>
      <c r="C692" s="18">
        <f t="shared" si="35"/>
        <v>10.966666666666667</v>
      </c>
      <c r="D692" s="18">
        <f t="shared" si="36"/>
        <v>21.858886083080165</v>
      </c>
      <c r="E692" s="18">
        <f t="shared" si="37"/>
        <v>36.358197531105461</v>
      </c>
    </row>
    <row r="693" spans="2:5" x14ac:dyDescent="0.3">
      <c r="B693" s="457">
        <v>659</v>
      </c>
      <c r="C693" s="18">
        <f t="shared" si="35"/>
        <v>10.983333333333333</v>
      </c>
      <c r="D693" s="18">
        <f t="shared" si="36"/>
        <v>21.858886426205476</v>
      </c>
      <c r="E693" s="18">
        <f t="shared" si="37"/>
        <v>36.358200550608203</v>
      </c>
    </row>
    <row r="694" spans="2:5" x14ac:dyDescent="0.3">
      <c r="B694" s="457">
        <v>660</v>
      </c>
      <c r="C694" s="18">
        <f t="shared" si="35"/>
        <v>11</v>
      </c>
      <c r="D694" s="18">
        <f t="shared" si="36"/>
        <v>21.858886763414304</v>
      </c>
      <c r="E694" s="18">
        <f t="shared" si="37"/>
        <v>36.358203518045876</v>
      </c>
    </row>
    <row r="695" spans="2:5" x14ac:dyDescent="0.3">
      <c r="B695" s="457">
        <v>661</v>
      </c>
      <c r="C695" s="18">
        <f t="shared" si="35"/>
        <v>11.016666666666667</v>
      </c>
      <c r="D695" s="18">
        <f t="shared" si="36"/>
        <v>21.858887094808662</v>
      </c>
      <c r="E695" s="18">
        <f t="shared" si="37"/>
        <v>36.358206434316223</v>
      </c>
    </row>
    <row r="696" spans="2:5" x14ac:dyDescent="0.3">
      <c r="B696" s="457">
        <v>662</v>
      </c>
      <c r="C696" s="18">
        <f t="shared" si="35"/>
        <v>11.033333333333333</v>
      </c>
      <c r="D696" s="18">
        <f t="shared" si="36"/>
        <v>21.858887420488809</v>
      </c>
      <c r="E696" s="18">
        <f t="shared" si="37"/>
        <v>36.358209300301525</v>
      </c>
    </row>
    <row r="697" spans="2:5" x14ac:dyDescent="0.3">
      <c r="B697" s="457">
        <v>663</v>
      </c>
      <c r="C697" s="18">
        <f t="shared" si="35"/>
        <v>11.05</v>
      </c>
      <c r="D697" s="18">
        <f t="shared" si="36"/>
        <v>21.858887740553278</v>
      </c>
      <c r="E697" s="18">
        <f t="shared" si="37"/>
        <v>36.358212116868842</v>
      </c>
    </row>
    <row r="698" spans="2:5" x14ac:dyDescent="0.3">
      <c r="B698" s="457">
        <v>664</v>
      </c>
      <c r="C698" s="18">
        <f t="shared" si="35"/>
        <v>11.066666666666666</v>
      </c>
      <c r="D698" s="18">
        <f t="shared" si="36"/>
        <v>21.858888055098895</v>
      </c>
      <c r="E698" s="18">
        <f t="shared" si="37"/>
        <v>36.358214884870286</v>
      </c>
    </row>
    <row r="699" spans="2:5" x14ac:dyDescent="0.3">
      <c r="B699" s="457">
        <v>665</v>
      </c>
      <c r="C699" s="18">
        <f t="shared" si="35"/>
        <v>11.083333333333334</v>
      </c>
      <c r="D699" s="18">
        <f t="shared" si="36"/>
        <v>21.858888364220824</v>
      </c>
      <c r="E699" s="18">
        <f t="shared" si="37"/>
        <v>36.358217605143267</v>
      </c>
    </row>
    <row r="700" spans="2:5" x14ac:dyDescent="0.3">
      <c r="B700" s="457">
        <v>666</v>
      </c>
      <c r="C700" s="18">
        <f t="shared" si="35"/>
        <v>11.1</v>
      </c>
      <c r="D700" s="18">
        <f t="shared" si="36"/>
        <v>21.85888866801259</v>
      </c>
      <c r="E700" s="18">
        <f t="shared" si="37"/>
        <v>36.358220278510785</v>
      </c>
    </row>
    <row r="701" spans="2:5" x14ac:dyDescent="0.3">
      <c r="B701" s="457">
        <v>667</v>
      </c>
      <c r="C701" s="18">
        <f t="shared" si="35"/>
        <v>11.116666666666667</v>
      </c>
      <c r="D701" s="18">
        <f t="shared" si="36"/>
        <v>21.858888966566091</v>
      </c>
      <c r="E701" s="18">
        <f t="shared" si="37"/>
        <v>36.358222905781602</v>
      </c>
    </row>
    <row r="702" spans="2:5" x14ac:dyDescent="0.3">
      <c r="B702" s="457">
        <v>668</v>
      </c>
      <c r="C702" s="18">
        <f t="shared" si="35"/>
        <v>11.133333333333333</v>
      </c>
      <c r="D702" s="18">
        <f t="shared" si="36"/>
        <v>21.858889259971654</v>
      </c>
      <c r="E702" s="18">
        <f t="shared" si="37"/>
        <v>36.358225487750573</v>
      </c>
    </row>
    <row r="703" spans="2:5" x14ac:dyDescent="0.3">
      <c r="B703" s="457">
        <v>669</v>
      </c>
      <c r="C703" s="18">
        <f t="shared" si="35"/>
        <v>11.15</v>
      </c>
      <c r="D703" s="18">
        <f t="shared" si="36"/>
        <v>21.85888954831805</v>
      </c>
      <c r="E703" s="18">
        <f t="shared" si="37"/>
        <v>36.358228025198827</v>
      </c>
    </row>
    <row r="704" spans="2:5" x14ac:dyDescent="0.3">
      <c r="B704" s="457">
        <v>670</v>
      </c>
      <c r="C704" s="18">
        <f t="shared" si="35"/>
        <v>11.166666666666666</v>
      </c>
      <c r="D704" s="18">
        <f t="shared" si="36"/>
        <v>21.858889831692505</v>
      </c>
      <c r="E704" s="18">
        <f t="shared" si="37"/>
        <v>36.358230518894047</v>
      </c>
    </row>
    <row r="705" spans="2:5" x14ac:dyDescent="0.3">
      <c r="B705" s="457">
        <v>671</v>
      </c>
      <c r="C705" s="18">
        <f t="shared" si="35"/>
        <v>11.183333333333334</v>
      </c>
      <c r="D705" s="18">
        <f t="shared" si="36"/>
        <v>21.858890110180756</v>
      </c>
      <c r="E705" s="18">
        <f t="shared" si="37"/>
        <v>36.358232969590645</v>
      </c>
    </row>
    <row r="706" spans="2:5" x14ac:dyDescent="0.3">
      <c r="B706" s="457">
        <v>672</v>
      </c>
      <c r="C706" s="18">
        <f t="shared" si="35"/>
        <v>11.2</v>
      </c>
      <c r="D706" s="18">
        <f t="shared" si="36"/>
        <v>21.858890383867053</v>
      </c>
      <c r="E706" s="18">
        <f t="shared" si="37"/>
        <v>36.358235378030059</v>
      </c>
    </row>
    <row r="707" spans="2:5" x14ac:dyDescent="0.3">
      <c r="B707" s="457">
        <v>673</v>
      </c>
      <c r="C707" s="18">
        <f t="shared" si="35"/>
        <v>11.216666666666667</v>
      </c>
      <c r="D707" s="18">
        <f t="shared" si="36"/>
        <v>21.858890652834194</v>
      </c>
      <c r="E707" s="18">
        <f t="shared" si="37"/>
        <v>36.358237744940922</v>
      </c>
    </row>
    <row r="708" spans="2:5" x14ac:dyDescent="0.3">
      <c r="B708" s="457">
        <v>674</v>
      </c>
      <c r="C708" s="18">
        <f t="shared" si="35"/>
        <v>11.233333333333333</v>
      </c>
      <c r="D708" s="18">
        <f t="shared" si="36"/>
        <v>21.858890917163556</v>
      </c>
      <c r="E708" s="18">
        <f t="shared" si="37"/>
        <v>36.358240071039305</v>
      </c>
    </row>
    <row r="709" spans="2:5" x14ac:dyDescent="0.3">
      <c r="B709" s="457">
        <v>675</v>
      </c>
      <c r="C709" s="18">
        <f t="shared" si="35"/>
        <v>11.25</v>
      </c>
      <c r="D709" s="18">
        <f t="shared" si="36"/>
        <v>21.858891176935106</v>
      </c>
      <c r="E709" s="18">
        <f t="shared" si="37"/>
        <v>36.358242357028928</v>
      </c>
    </row>
    <row r="710" spans="2:5" x14ac:dyDescent="0.3">
      <c r="B710" s="457">
        <v>676</v>
      </c>
      <c r="C710" s="18">
        <f t="shared" si="35"/>
        <v>11.266666666666667</v>
      </c>
      <c r="D710" s="18">
        <f t="shared" si="36"/>
        <v>21.858891432227431</v>
      </c>
      <c r="E710" s="18">
        <f t="shared" si="37"/>
        <v>36.358244603601399</v>
      </c>
    </row>
    <row r="711" spans="2:5" x14ac:dyDescent="0.3">
      <c r="B711" s="457">
        <v>677</v>
      </c>
      <c r="C711" s="18">
        <f t="shared" si="35"/>
        <v>11.283333333333333</v>
      </c>
      <c r="D711" s="18">
        <f t="shared" si="36"/>
        <v>21.858891683117768</v>
      </c>
      <c r="E711" s="18">
        <f t="shared" si="37"/>
        <v>36.358246811436373</v>
      </c>
    </row>
    <row r="712" spans="2:5" x14ac:dyDescent="0.3">
      <c r="B712" s="457">
        <v>678</v>
      </c>
      <c r="C712" s="18">
        <f t="shared" si="35"/>
        <v>11.3</v>
      </c>
      <c r="D712" s="18">
        <f t="shared" si="36"/>
        <v>21.858891929682024</v>
      </c>
      <c r="E712" s="18">
        <f t="shared" si="37"/>
        <v>36.358248981201804</v>
      </c>
    </row>
    <row r="713" spans="2:5" x14ac:dyDescent="0.3">
      <c r="B713" s="457">
        <v>679</v>
      </c>
      <c r="C713" s="18">
        <f t="shared" si="35"/>
        <v>11.316666666666666</v>
      </c>
      <c r="D713" s="18">
        <f t="shared" si="36"/>
        <v>21.858892171994786</v>
      </c>
      <c r="E713" s="18">
        <f t="shared" si="37"/>
        <v>36.358251113554118</v>
      </c>
    </row>
    <row r="714" spans="2:5" x14ac:dyDescent="0.3">
      <c r="B714" s="457">
        <v>680</v>
      </c>
      <c r="C714" s="18">
        <f t="shared" si="35"/>
        <v>11.333333333333334</v>
      </c>
      <c r="D714" s="18">
        <f t="shared" si="36"/>
        <v>21.858892410129368</v>
      </c>
      <c r="E714" s="18">
        <f t="shared" si="37"/>
        <v>36.358253209138439</v>
      </c>
    </row>
    <row r="715" spans="2:5" x14ac:dyDescent="0.3">
      <c r="B715" s="457">
        <v>681</v>
      </c>
      <c r="C715" s="18">
        <f t="shared" si="35"/>
        <v>11.35</v>
      </c>
      <c r="D715" s="18">
        <f t="shared" si="36"/>
        <v>21.858892644157812</v>
      </c>
      <c r="E715" s="18">
        <f t="shared" si="37"/>
        <v>36.358255268588735</v>
      </c>
    </row>
    <row r="716" spans="2:5" x14ac:dyDescent="0.3">
      <c r="B716" s="457">
        <v>682</v>
      </c>
      <c r="C716" s="18">
        <f t="shared" si="35"/>
        <v>11.366666666666667</v>
      </c>
      <c r="D716" s="18">
        <f t="shared" si="36"/>
        <v>21.858892874150918</v>
      </c>
      <c r="E716" s="18">
        <f t="shared" si="37"/>
        <v>36.35825729252808</v>
      </c>
    </row>
    <row r="717" spans="2:5" x14ac:dyDescent="0.3">
      <c r="B717" s="457">
        <v>683</v>
      </c>
      <c r="C717" s="18">
        <f t="shared" si="35"/>
        <v>11.383333333333333</v>
      </c>
      <c r="D717" s="18">
        <f t="shared" si="36"/>
        <v>21.858893100178271</v>
      </c>
      <c r="E717" s="18">
        <f t="shared" si="37"/>
        <v>36.358259281568778</v>
      </c>
    </row>
    <row r="718" spans="2:5" x14ac:dyDescent="0.3">
      <c r="B718" s="457">
        <v>684</v>
      </c>
      <c r="C718" s="18">
        <f t="shared" si="35"/>
        <v>11.4</v>
      </c>
      <c r="D718" s="18">
        <f t="shared" si="36"/>
        <v>21.858893322308248</v>
      </c>
      <c r="E718" s="18">
        <f t="shared" si="37"/>
        <v>36.358261236312579</v>
      </c>
    </row>
    <row r="719" spans="2:5" x14ac:dyDescent="0.3">
      <c r="B719" s="457">
        <v>685</v>
      </c>
      <c r="C719" s="18">
        <f t="shared" si="35"/>
        <v>11.416666666666666</v>
      </c>
      <c r="D719" s="18">
        <f t="shared" si="36"/>
        <v>21.858893540608054</v>
      </c>
      <c r="E719" s="18">
        <f t="shared" si="37"/>
        <v>36.358263157350876</v>
      </c>
    </row>
    <row r="720" spans="2:5" x14ac:dyDescent="0.3">
      <c r="B720" s="457">
        <v>686</v>
      </c>
      <c r="C720" s="18">
        <f t="shared" si="35"/>
        <v>11.433333333333334</v>
      </c>
      <c r="D720" s="18">
        <f t="shared" si="36"/>
        <v>21.858893755143733</v>
      </c>
      <c r="E720" s="18">
        <f t="shared" si="37"/>
        <v>36.358265045264844</v>
      </c>
    </row>
    <row r="721" spans="2:5" x14ac:dyDescent="0.3">
      <c r="B721" s="457">
        <v>687</v>
      </c>
      <c r="C721" s="18">
        <f t="shared" si="35"/>
        <v>11.45</v>
      </c>
      <c r="D721" s="18">
        <f t="shared" si="36"/>
        <v>21.858893965980187</v>
      </c>
      <c r="E721" s="18">
        <f t="shared" si="37"/>
        <v>36.358266900625637</v>
      </c>
    </row>
    <row r="722" spans="2:5" x14ac:dyDescent="0.3">
      <c r="B722" s="457">
        <v>688</v>
      </c>
      <c r="C722" s="18">
        <f t="shared" si="35"/>
        <v>11.466666666666667</v>
      </c>
      <c r="D722" s="18">
        <f t="shared" si="36"/>
        <v>21.858894173181202</v>
      </c>
      <c r="E722" s="18">
        <f t="shared" si="37"/>
        <v>36.358268723994577</v>
      </c>
    </row>
    <row r="723" spans="2:5" x14ac:dyDescent="0.3">
      <c r="B723" s="457">
        <v>689</v>
      </c>
      <c r="C723" s="18">
        <f t="shared" si="35"/>
        <v>11.483333333333333</v>
      </c>
      <c r="D723" s="18">
        <f t="shared" si="36"/>
        <v>21.858894376809467</v>
      </c>
      <c r="E723" s="18">
        <f t="shared" si="37"/>
        <v>36.358270515923294</v>
      </c>
    </row>
    <row r="724" spans="2:5" x14ac:dyDescent="0.3">
      <c r="B724" s="457">
        <v>690</v>
      </c>
      <c r="C724" s="18">
        <f t="shared" si="35"/>
        <v>11.5</v>
      </c>
      <c r="D724" s="18">
        <f t="shared" si="36"/>
        <v>21.858894576926581</v>
      </c>
      <c r="E724" s="18">
        <f t="shared" si="37"/>
        <v>36.358272276953905</v>
      </c>
    </row>
    <row r="725" spans="2:5" x14ac:dyDescent="0.3">
      <c r="B725" s="457">
        <v>691</v>
      </c>
      <c r="C725" s="18">
        <f t="shared" si="35"/>
        <v>11.516666666666667</v>
      </c>
      <c r="D725" s="18">
        <f t="shared" si="36"/>
        <v>21.858894773593089</v>
      </c>
      <c r="E725" s="18">
        <f t="shared" si="37"/>
        <v>36.358274007619194</v>
      </c>
    </row>
    <row r="726" spans="2:5" x14ac:dyDescent="0.3">
      <c r="B726" s="457">
        <v>692</v>
      </c>
      <c r="C726" s="18">
        <f t="shared" si="35"/>
        <v>11.533333333333333</v>
      </c>
      <c r="D726" s="18">
        <f t="shared" si="36"/>
        <v>21.858894966868494</v>
      </c>
      <c r="E726" s="18">
        <f t="shared" si="37"/>
        <v>36.358275708442733</v>
      </c>
    </row>
    <row r="727" spans="2:5" x14ac:dyDescent="0.3">
      <c r="B727" s="457">
        <v>693</v>
      </c>
      <c r="C727" s="18">
        <f t="shared" si="35"/>
        <v>11.55</v>
      </c>
      <c r="D727" s="18">
        <f t="shared" si="36"/>
        <v>21.858895156811261</v>
      </c>
      <c r="E727" s="18">
        <f t="shared" si="37"/>
        <v>36.358277379939096</v>
      </c>
    </row>
    <row r="728" spans="2:5" x14ac:dyDescent="0.3">
      <c r="B728" s="457">
        <v>694</v>
      </c>
      <c r="C728" s="18">
        <f t="shared" si="35"/>
        <v>11.566666666666666</v>
      </c>
      <c r="D728" s="18">
        <f t="shared" si="36"/>
        <v>21.85889534347886</v>
      </c>
      <c r="E728" s="18">
        <f t="shared" si="37"/>
        <v>36.358279022613971</v>
      </c>
    </row>
    <row r="729" spans="2:5" x14ac:dyDescent="0.3">
      <c r="B729" s="457">
        <v>695</v>
      </c>
      <c r="C729" s="18">
        <f t="shared" si="35"/>
        <v>11.583333333333334</v>
      </c>
      <c r="D729" s="18">
        <f t="shared" si="36"/>
        <v>21.85889552692776</v>
      </c>
      <c r="E729" s="18">
        <f t="shared" si="37"/>
        <v>36.358280636964309</v>
      </c>
    </row>
    <row r="730" spans="2:5" x14ac:dyDescent="0.3">
      <c r="B730" s="457">
        <v>696</v>
      </c>
      <c r="C730" s="18">
        <f t="shared" si="35"/>
        <v>11.6</v>
      </c>
      <c r="D730" s="18">
        <f t="shared" si="36"/>
        <v>21.858895707213467</v>
      </c>
      <c r="E730" s="18">
        <f t="shared" si="37"/>
        <v>36.358282223478511</v>
      </c>
    </row>
    <row r="731" spans="2:5" x14ac:dyDescent="0.3">
      <c r="B731" s="457">
        <v>697</v>
      </c>
      <c r="C731" s="18">
        <f t="shared" si="35"/>
        <v>11.616666666666667</v>
      </c>
      <c r="D731" s="18">
        <f t="shared" si="36"/>
        <v>21.85889588439052</v>
      </c>
      <c r="E731" s="18">
        <f t="shared" si="37"/>
        <v>36.358283782636569</v>
      </c>
    </row>
    <row r="732" spans="2:5" x14ac:dyDescent="0.3">
      <c r="B732" s="457">
        <v>698</v>
      </c>
      <c r="C732" s="18">
        <f t="shared" si="35"/>
        <v>11.633333333333333</v>
      </c>
      <c r="D732" s="18">
        <f t="shared" si="36"/>
        <v>21.858896058512521</v>
      </c>
      <c r="E732" s="18">
        <f t="shared" si="37"/>
        <v>36.358285314910169</v>
      </c>
    </row>
    <row r="733" spans="2:5" x14ac:dyDescent="0.3">
      <c r="B733" s="457">
        <v>699</v>
      </c>
      <c r="C733" s="18">
        <f t="shared" si="35"/>
        <v>11.65</v>
      </c>
      <c r="D733" s="18">
        <f t="shared" si="36"/>
        <v>21.858896229632144</v>
      </c>
      <c r="E733" s="18">
        <f t="shared" si="37"/>
        <v>36.358286820762885</v>
      </c>
    </row>
    <row r="734" spans="2:5" x14ac:dyDescent="0.3">
      <c r="B734" s="457">
        <v>700</v>
      </c>
      <c r="C734" s="18">
        <f t="shared" si="35"/>
        <v>11.666666666666666</v>
      </c>
      <c r="D734" s="18">
        <f t="shared" si="36"/>
        <v>21.858896397801168</v>
      </c>
      <c r="E734" s="18">
        <f t="shared" si="37"/>
        <v>36.358288300650287</v>
      </c>
    </row>
    <row r="735" spans="2:5" x14ac:dyDescent="0.3">
      <c r="B735" s="457">
        <v>701</v>
      </c>
      <c r="C735" s="18">
        <f t="shared" si="35"/>
        <v>11.683333333333334</v>
      </c>
      <c r="D735" s="18">
        <f t="shared" si="36"/>
        <v>21.858896563070466</v>
      </c>
      <c r="E735" s="18">
        <f t="shared" si="37"/>
        <v>36.358289755020088</v>
      </c>
    </row>
    <row r="736" spans="2:5" x14ac:dyDescent="0.3">
      <c r="B736" s="457">
        <v>702</v>
      </c>
      <c r="C736" s="18">
        <f t="shared" si="35"/>
        <v>11.7</v>
      </c>
      <c r="D736" s="18">
        <f t="shared" si="36"/>
        <v>21.858896725490034</v>
      </c>
      <c r="E736" s="18">
        <f t="shared" si="37"/>
        <v>36.358291184312293</v>
      </c>
    </row>
    <row r="737" spans="2:5" x14ac:dyDescent="0.3">
      <c r="B737" s="457">
        <v>703</v>
      </c>
      <c r="C737" s="18">
        <f t="shared" si="35"/>
        <v>11.716666666666667</v>
      </c>
      <c r="D737" s="18">
        <f t="shared" si="36"/>
        <v>21.858896885109015</v>
      </c>
      <c r="E737" s="18">
        <f t="shared" si="37"/>
        <v>36.358292588959316</v>
      </c>
    </row>
    <row r="738" spans="2:5" x14ac:dyDescent="0.3">
      <c r="B738" s="457">
        <v>704</v>
      </c>
      <c r="C738" s="18">
        <f t="shared" si="35"/>
        <v>11.733333333333333</v>
      </c>
      <c r="D738" s="18">
        <f t="shared" si="36"/>
        <v>21.858897041975695</v>
      </c>
      <c r="E738" s="18">
        <f t="shared" si="37"/>
        <v>36.358293969386111</v>
      </c>
    </row>
    <row r="739" spans="2:5" x14ac:dyDescent="0.3">
      <c r="B739" s="457">
        <v>705</v>
      </c>
      <c r="C739" s="18">
        <f t="shared" si="35"/>
        <v>11.75</v>
      </c>
      <c r="D739" s="18">
        <f t="shared" si="36"/>
        <v>21.858897196137534</v>
      </c>
      <c r="E739" s="18">
        <f t="shared" si="37"/>
        <v>36.3582953260103</v>
      </c>
    </row>
    <row r="740" spans="2:5" x14ac:dyDescent="0.3">
      <c r="B740" s="457">
        <v>706</v>
      </c>
      <c r="C740" s="18">
        <f t="shared" ref="C740:C803" si="38">B740/60</f>
        <v>11.766666666666667</v>
      </c>
      <c r="D740" s="18">
        <f t="shared" ref="D740:D803" si="39">$I$32+$G$27/$A$32/$D$32*(1-EXP(-B740/($G$32*$H$32/$A$32/$D$32)))</f>
        <v>21.858897347641172</v>
      </c>
      <c r="E740" s="18">
        <f t="shared" ref="E740:E803" si="40">$I$32+$G$27/$A$32/$E$32*(1-EXP(-B740/($G$32*$H$32/$A$32/$D$32)))</f>
        <v>36.358296659242313</v>
      </c>
    </row>
    <row r="741" spans="2:5" x14ac:dyDescent="0.3">
      <c r="B741" s="457">
        <v>707</v>
      </c>
      <c r="C741" s="18">
        <f t="shared" si="38"/>
        <v>11.783333333333333</v>
      </c>
      <c r="D741" s="18">
        <f t="shared" si="39"/>
        <v>21.858897496532443</v>
      </c>
      <c r="E741" s="18">
        <f t="shared" si="40"/>
        <v>36.358297969485491</v>
      </c>
    </row>
    <row r="742" spans="2:5" x14ac:dyDescent="0.3">
      <c r="B742" s="457">
        <v>708</v>
      </c>
      <c r="C742" s="18">
        <f t="shared" si="38"/>
        <v>11.8</v>
      </c>
      <c r="D742" s="18">
        <f t="shared" si="39"/>
        <v>21.858897642856391</v>
      </c>
      <c r="E742" s="18">
        <f t="shared" si="40"/>
        <v>36.358299257136252</v>
      </c>
    </row>
    <row r="743" spans="2:5" x14ac:dyDescent="0.3">
      <c r="B743" s="457">
        <v>709</v>
      </c>
      <c r="C743" s="18">
        <f t="shared" si="38"/>
        <v>11.816666666666666</v>
      </c>
      <c r="D743" s="18">
        <f t="shared" si="39"/>
        <v>21.858897786657288</v>
      </c>
      <c r="E743" s="18">
        <f t="shared" si="40"/>
        <v>36.35830052258413</v>
      </c>
    </row>
    <row r="744" spans="2:5" x14ac:dyDescent="0.3">
      <c r="B744" s="457">
        <v>710</v>
      </c>
      <c r="C744" s="18">
        <f t="shared" si="38"/>
        <v>11.833333333333334</v>
      </c>
      <c r="D744" s="18">
        <f t="shared" si="39"/>
        <v>21.858897927978635</v>
      </c>
      <c r="E744" s="18">
        <f t="shared" si="40"/>
        <v>36.35830176621198</v>
      </c>
    </row>
    <row r="745" spans="2:5" x14ac:dyDescent="0.3">
      <c r="B745" s="457">
        <v>711</v>
      </c>
      <c r="C745" s="18">
        <f t="shared" si="38"/>
        <v>11.85</v>
      </c>
      <c r="D745" s="18">
        <f t="shared" si="39"/>
        <v>21.858898066863187</v>
      </c>
      <c r="E745" s="18">
        <f t="shared" si="40"/>
        <v>36.358302988396041</v>
      </c>
    </row>
    <row r="746" spans="2:5" x14ac:dyDescent="0.3">
      <c r="B746" s="457">
        <v>712</v>
      </c>
      <c r="C746" s="18">
        <f t="shared" si="38"/>
        <v>11.866666666666667</v>
      </c>
      <c r="D746" s="18">
        <f t="shared" si="39"/>
        <v>21.858898203352961</v>
      </c>
      <c r="E746" s="18">
        <f t="shared" si="40"/>
        <v>36.358304189506072</v>
      </c>
    </row>
    <row r="747" spans="2:5" x14ac:dyDescent="0.3">
      <c r="B747" s="457">
        <v>713</v>
      </c>
      <c r="C747" s="18">
        <f t="shared" si="38"/>
        <v>11.883333333333333</v>
      </c>
      <c r="D747" s="18">
        <f t="shared" si="39"/>
        <v>21.858898337489254</v>
      </c>
      <c r="E747" s="18">
        <f t="shared" si="40"/>
        <v>36.358305369905437</v>
      </c>
    </row>
    <row r="748" spans="2:5" x14ac:dyDescent="0.3">
      <c r="B748" s="457">
        <v>714</v>
      </c>
      <c r="C748" s="18">
        <f t="shared" si="38"/>
        <v>11.9</v>
      </c>
      <c r="D748" s="18">
        <f t="shared" si="39"/>
        <v>21.858898469312646</v>
      </c>
      <c r="E748" s="18">
        <f t="shared" si="40"/>
        <v>36.358306529951264</v>
      </c>
    </row>
    <row r="749" spans="2:5" x14ac:dyDescent="0.3">
      <c r="B749" s="457">
        <v>715</v>
      </c>
      <c r="C749" s="18">
        <f t="shared" si="38"/>
        <v>11.916666666666666</v>
      </c>
      <c r="D749" s="18">
        <f t="shared" si="39"/>
        <v>21.858898598863011</v>
      </c>
      <c r="E749" s="18">
        <f t="shared" si="40"/>
        <v>36.358307669994502</v>
      </c>
    </row>
    <row r="750" spans="2:5" x14ac:dyDescent="0.3">
      <c r="B750" s="457">
        <v>716</v>
      </c>
      <c r="C750" s="18">
        <f t="shared" si="38"/>
        <v>11.933333333333334</v>
      </c>
      <c r="D750" s="18">
        <f t="shared" si="39"/>
        <v>21.858898726179554</v>
      </c>
      <c r="E750" s="18">
        <f t="shared" si="40"/>
        <v>36.358308790380057</v>
      </c>
    </row>
    <row r="751" spans="2:5" x14ac:dyDescent="0.3">
      <c r="B751" s="457">
        <v>717</v>
      </c>
      <c r="C751" s="18">
        <f t="shared" si="38"/>
        <v>11.95</v>
      </c>
      <c r="D751" s="18">
        <f t="shared" si="39"/>
        <v>21.858898851300783</v>
      </c>
      <c r="E751" s="18">
        <f t="shared" si="40"/>
        <v>36.358309891446879</v>
      </c>
    </row>
    <row r="752" spans="2:5" x14ac:dyDescent="0.3">
      <c r="B752" s="457">
        <v>718</v>
      </c>
      <c r="C752" s="18">
        <f t="shared" si="38"/>
        <v>11.966666666666667</v>
      </c>
      <c r="D752" s="18">
        <f t="shared" si="39"/>
        <v>21.858898974264555</v>
      </c>
      <c r="E752" s="18">
        <f t="shared" si="40"/>
        <v>36.358310973528084</v>
      </c>
    </row>
    <row r="753" spans="2:5" x14ac:dyDescent="0.3">
      <c r="B753" s="457">
        <v>719</v>
      </c>
      <c r="C753" s="18">
        <f t="shared" si="38"/>
        <v>11.983333333333333</v>
      </c>
      <c r="D753" s="18">
        <f t="shared" si="39"/>
        <v>21.858899095108072</v>
      </c>
      <c r="E753" s="18">
        <f t="shared" si="40"/>
        <v>36.358312036951034</v>
      </c>
    </row>
    <row r="754" spans="2:5" x14ac:dyDescent="0.3">
      <c r="B754" s="457">
        <v>720</v>
      </c>
      <c r="C754" s="18">
        <f t="shared" si="38"/>
        <v>12</v>
      </c>
      <c r="D754" s="18">
        <f t="shared" si="39"/>
        <v>21.858899213867893</v>
      </c>
      <c r="E754" s="18">
        <f t="shared" si="40"/>
        <v>36.358313082037462</v>
      </c>
    </row>
    <row r="755" spans="2:5" x14ac:dyDescent="0.3">
      <c r="B755" s="457">
        <v>721</v>
      </c>
      <c r="C755" s="18">
        <f t="shared" si="38"/>
        <v>12.016666666666667</v>
      </c>
      <c r="D755" s="18">
        <f t="shared" si="39"/>
        <v>21.858899330579945</v>
      </c>
      <c r="E755" s="18">
        <f t="shared" si="40"/>
        <v>36.358314109103532</v>
      </c>
    </row>
    <row r="756" spans="2:5" x14ac:dyDescent="0.3">
      <c r="B756" s="457">
        <v>722</v>
      </c>
      <c r="C756" s="18">
        <f t="shared" si="38"/>
        <v>12.033333333333333</v>
      </c>
      <c r="D756" s="18">
        <f t="shared" si="39"/>
        <v>21.858899445279544</v>
      </c>
      <c r="E756" s="18">
        <f t="shared" si="40"/>
        <v>36.358315118459977</v>
      </c>
    </row>
    <row r="757" spans="2:5" x14ac:dyDescent="0.3">
      <c r="B757" s="457">
        <v>723</v>
      </c>
      <c r="C757" s="18">
        <f t="shared" si="38"/>
        <v>12.05</v>
      </c>
      <c r="D757" s="18">
        <f t="shared" si="39"/>
        <v>21.858899558001379</v>
      </c>
      <c r="E757" s="18">
        <f t="shared" si="40"/>
        <v>36.358316110412154</v>
      </c>
    </row>
    <row r="758" spans="2:5" x14ac:dyDescent="0.3">
      <c r="B758" s="457">
        <v>724</v>
      </c>
      <c r="C758" s="18">
        <f t="shared" si="38"/>
        <v>12.066666666666666</v>
      </c>
      <c r="D758" s="18">
        <f t="shared" si="39"/>
        <v>21.858899668779564</v>
      </c>
      <c r="E758" s="18">
        <f t="shared" si="40"/>
        <v>36.358317085260168</v>
      </c>
    </row>
    <row r="759" spans="2:5" x14ac:dyDescent="0.3">
      <c r="B759" s="457">
        <v>725</v>
      </c>
      <c r="C759" s="18">
        <f t="shared" si="38"/>
        <v>12.083333333333334</v>
      </c>
      <c r="D759" s="18">
        <f t="shared" si="39"/>
        <v>21.858899777647608</v>
      </c>
      <c r="E759" s="18">
        <f t="shared" si="40"/>
        <v>36.358318043298951</v>
      </c>
    </row>
    <row r="760" spans="2:5" x14ac:dyDescent="0.3">
      <c r="B760" s="457">
        <v>726</v>
      </c>
      <c r="C760" s="18">
        <f t="shared" si="38"/>
        <v>12.1</v>
      </c>
      <c r="D760" s="18">
        <f t="shared" si="39"/>
        <v>21.858899884638447</v>
      </c>
      <c r="E760" s="18">
        <f t="shared" si="40"/>
        <v>36.358318984818339</v>
      </c>
    </row>
    <row r="761" spans="2:5" x14ac:dyDescent="0.3">
      <c r="B761" s="457">
        <v>727</v>
      </c>
      <c r="C761" s="18">
        <f t="shared" si="38"/>
        <v>12.116666666666667</v>
      </c>
      <c r="D761" s="18">
        <f t="shared" si="39"/>
        <v>21.858899989784451</v>
      </c>
      <c r="E761" s="18">
        <f t="shared" si="40"/>
        <v>36.358319910103177</v>
      </c>
    </row>
    <row r="762" spans="2:5" x14ac:dyDescent="0.3">
      <c r="B762" s="457">
        <v>728</v>
      </c>
      <c r="C762" s="18">
        <f t="shared" si="38"/>
        <v>12.133333333333333</v>
      </c>
      <c r="D762" s="18">
        <f t="shared" si="39"/>
        <v>21.85890009311743</v>
      </c>
      <c r="E762" s="18">
        <f t="shared" si="40"/>
        <v>36.358320819433388</v>
      </c>
    </row>
    <row r="763" spans="2:5" x14ac:dyDescent="0.3">
      <c r="B763" s="457">
        <v>729</v>
      </c>
      <c r="C763" s="18">
        <f t="shared" si="38"/>
        <v>12.15</v>
      </c>
      <c r="D763" s="18">
        <f t="shared" si="39"/>
        <v>21.858900194668646</v>
      </c>
      <c r="E763" s="18">
        <f t="shared" si="40"/>
        <v>36.358321713084081</v>
      </c>
    </row>
    <row r="764" spans="2:5" x14ac:dyDescent="0.3">
      <c r="B764" s="457">
        <v>730</v>
      </c>
      <c r="C764" s="18">
        <f t="shared" si="38"/>
        <v>12.166666666666666</v>
      </c>
      <c r="D764" s="18">
        <f t="shared" si="39"/>
        <v>21.858900294468818</v>
      </c>
      <c r="E764" s="18">
        <f t="shared" si="40"/>
        <v>36.358322591325617</v>
      </c>
    </row>
    <row r="765" spans="2:5" x14ac:dyDescent="0.3">
      <c r="B765" s="457">
        <v>731</v>
      </c>
      <c r="C765" s="18">
        <f t="shared" si="38"/>
        <v>12.183333333333334</v>
      </c>
      <c r="D765" s="18">
        <f t="shared" si="39"/>
        <v>21.858900392548147</v>
      </c>
      <c r="E765" s="18">
        <f t="shared" si="40"/>
        <v>36.358323454423697</v>
      </c>
    </row>
    <row r="766" spans="2:5" x14ac:dyDescent="0.3">
      <c r="B766" s="457">
        <v>732</v>
      </c>
      <c r="C766" s="18">
        <f t="shared" si="38"/>
        <v>12.2</v>
      </c>
      <c r="D766" s="18">
        <f t="shared" si="39"/>
        <v>21.8589004889363</v>
      </c>
      <c r="E766" s="18">
        <f t="shared" si="40"/>
        <v>36.358324302639431</v>
      </c>
    </row>
    <row r="767" spans="2:5" x14ac:dyDescent="0.3">
      <c r="B767" s="457">
        <v>733</v>
      </c>
      <c r="C767" s="18">
        <f t="shared" si="38"/>
        <v>12.216666666666667</v>
      </c>
      <c r="D767" s="18">
        <f t="shared" si="39"/>
        <v>21.858900583662436</v>
      </c>
      <c r="E767" s="18">
        <f t="shared" si="40"/>
        <v>36.358325136229439</v>
      </c>
    </row>
    <row r="768" spans="2:5" x14ac:dyDescent="0.3">
      <c r="B768" s="457">
        <v>734</v>
      </c>
      <c r="C768" s="18">
        <f t="shared" si="38"/>
        <v>12.233333333333333</v>
      </c>
      <c r="D768" s="18">
        <f t="shared" si="39"/>
        <v>21.858900676755219</v>
      </c>
      <c r="E768" s="18">
        <f t="shared" si="40"/>
        <v>36.35832595544592</v>
      </c>
    </row>
    <row r="769" spans="2:5" x14ac:dyDescent="0.3">
      <c r="B769" s="457">
        <v>735</v>
      </c>
      <c r="C769" s="18">
        <f t="shared" si="38"/>
        <v>12.25</v>
      </c>
      <c r="D769" s="18">
        <f t="shared" si="39"/>
        <v>21.858900768242808</v>
      </c>
      <c r="E769" s="18">
        <f t="shared" si="40"/>
        <v>36.358326760536713</v>
      </c>
    </row>
    <row r="770" spans="2:5" x14ac:dyDescent="0.3">
      <c r="B770" s="457">
        <v>736</v>
      </c>
      <c r="C770" s="18">
        <f t="shared" si="38"/>
        <v>12.266666666666667</v>
      </c>
      <c r="D770" s="18">
        <f t="shared" si="39"/>
        <v>21.858900858152882</v>
      </c>
      <c r="E770" s="18">
        <f t="shared" si="40"/>
        <v>36.358327551745376</v>
      </c>
    </row>
    <row r="771" spans="2:5" x14ac:dyDescent="0.3">
      <c r="B771" s="457">
        <v>737</v>
      </c>
      <c r="C771" s="18">
        <f t="shared" si="38"/>
        <v>12.283333333333333</v>
      </c>
      <c r="D771" s="18">
        <f t="shared" si="39"/>
        <v>21.858900946512644</v>
      </c>
      <c r="E771" s="18">
        <f t="shared" si="40"/>
        <v>36.358328329311277</v>
      </c>
    </row>
    <row r="772" spans="2:5" x14ac:dyDescent="0.3">
      <c r="B772" s="457">
        <v>738</v>
      </c>
      <c r="C772" s="18">
        <f t="shared" si="38"/>
        <v>12.3</v>
      </c>
      <c r="D772" s="18">
        <f t="shared" si="39"/>
        <v>21.858901033348825</v>
      </c>
      <c r="E772" s="18">
        <f t="shared" si="40"/>
        <v>36.358329093469671</v>
      </c>
    </row>
    <row r="773" spans="2:5" x14ac:dyDescent="0.3">
      <c r="B773" s="457">
        <v>739</v>
      </c>
      <c r="C773" s="18">
        <f t="shared" si="38"/>
        <v>12.316666666666666</v>
      </c>
      <c r="D773" s="18">
        <f t="shared" si="39"/>
        <v>21.858901118687697</v>
      </c>
      <c r="E773" s="18">
        <f t="shared" si="40"/>
        <v>36.358329844451731</v>
      </c>
    </row>
    <row r="774" spans="2:5" x14ac:dyDescent="0.3">
      <c r="B774" s="457">
        <v>740</v>
      </c>
      <c r="C774" s="18">
        <f t="shared" si="38"/>
        <v>12.333333333333334</v>
      </c>
      <c r="D774" s="18">
        <f t="shared" si="39"/>
        <v>21.858901202555074</v>
      </c>
      <c r="E774" s="18">
        <f t="shared" si="40"/>
        <v>36.358330582484662</v>
      </c>
    </row>
    <row r="775" spans="2:5" x14ac:dyDescent="0.3">
      <c r="B775" s="457">
        <v>741</v>
      </c>
      <c r="C775" s="18">
        <f t="shared" si="38"/>
        <v>12.35</v>
      </c>
      <c r="D775" s="18">
        <f t="shared" si="39"/>
        <v>21.858901284976334</v>
      </c>
      <c r="E775" s="18">
        <f t="shared" si="40"/>
        <v>36.358331307791744</v>
      </c>
    </row>
    <row r="776" spans="2:5" x14ac:dyDescent="0.3">
      <c r="B776" s="457">
        <v>742</v>
      </c>
      <c r="C776" s="18">
        <f t="shared" si="38"/>
        <v>12.366666666666667</v>
      </c>
      <c r="D776" s="18">
        <f t="shared" si="39"/>
        <v>21.858901365976408</v>
      </c>
      <c r="E776" s="18">
        <f t="shared" si="40"/>
        <v>36.3583320205924</v>
      </c>
    </row>
    <row r="777" spans="2:5" x14ac:dyDescent="0.3">
      <c r="B777" s="457">
        <v>743</v>
      </c>
      <c r="C777" s="18">
        <f t="shared" si="38"/>
        <v>12.383333333333333</v>
      </c>
      <c r="D777" s="18">
        <f t="shared" si="39"/>
        <v>21.858901445579807</v>
      </c>
      <c r="E777" s="18">
        <f t="shared" si="40"/>
        <v>36.358332721102286</v>
      </c>
    </row>
    <row r="778" spans="2:5" x14ac:dyDescent="0.3">
      <c r="B778" s="457">
        <v>744</v>
      </c>
      <c r="C778" s="18">
        <f t="shared" si="38"/>
        <v>12.4</v>
      </c>
      <c r="D778" s="18">
        <f t="shared" si="39"/>
        <v>21.858901523810605</v>
      </c>
      <c r="E778" s="18">
        <f t="shared" si="40"/>
        <v>36.35833340953333</v>
      </c>
    </row>
    <row r="779" spans="2:5" x14ac:dyDescent="0.3">
      <c r="B779" s="457">
        <v>745</v>
      </c>
      <c r="C779" s="18">
        <f t="shared" si="38"/>
        <v>12.416666666666666</v>
      </c>
      <c r="D779" s="18">
        <f t="shared" si="39"/>
        <v>21.858901600692477</v>
      </c>
      <c r="E779" s="18">
        <f t="shared" si="40"/>
        <v>36.358334086093812</v>
      </c>
    </row>
    <row r="780" spans="2:5" x14ac:dyDescent="0.3">
      <c r="B780" s="457">
        <v>746</v>
      </c>
      <c r="C780" s="18">
        <f t="shared" si="38"/>
        <v>12.433333333333334</v>
      </c>
      <c r="D780" s="18">
        <f t="shared" si="39"/>
        <v>21.858901676248681</v>
      </c>
      <c r="E780" s="18">
        <f t="shared" si="40"/>
        <v>36.358334750988405</v>
      </c>
    </row>
    <row r="781" spans="2:5" x14ac:dyDescent="0.3">
      <c r="B781" s="457">
        <v>747</v>
      </c>
      <c r="C781" s="18">
        <f t="shared" si="38"/>
        <v>12.45</v>
      </c>
      <c r="D781" s="18">
        <f t="shared" si="39"/>
        <v>21.858901750502074</v>
      </c>
      <c r="E781" s="18">
        <f t="shared" si="40"/>
        <v>36.358335404418263</v>
      </c>
    </row>
    <row r="782" spans="2:5" x14ac:dyDescent="0.3">
      <c r="B782" s="457">
        <v>748</v>
      </c>
      <c r="C782" s="18">
        <f t="shared" si="38"/>
        <v>12.466666666666667</v>
      </c>
      <c r="D782" s="18">
        <f t="shared" si="39"/>
        <v>21.858901823475122</v>
      </c>
      <c r="E782" s="18">
        <f t="shared" si="40"/>
        <v>36.358336046581073</v>
      </c>
    </row>
    <row r="783" spans="2:5" x14ac:dyDescent="0.3">
      <c r="B783" s="457">
        <v>749</v>
      </c>
      <c r="C783" s="18">
        <f t="shared" si="38"/>
        <v>12.483333333333333</v>
      </c>
      <c r="D783" s="18">
        <f t="shared" si="39"/>
        <v>21.858901895189899</v>
      </c>
      <c r="E783" s="18">
        <f t="shared" si="40"/>
        <v>36.358336677671119</v>
      </c>
    </row>
    <row r="784" spans="2:5" x14ac:dyDescent="0.3">
      <c r="B784" s="457">
        <v>750</v>
      </c>
      <c r="C784" s="18">
        <f t="shared" si="38"/>
        <v>12.5</v>
      </c>
      <c r="D784" s="18">
        <f t="shared" si="39"/>
        <v>21.858901965668107</v>
      </c>
      <c r="E784" s="18">
        <f t="shared" si="40"/>
        <v>36.358337297879331</v>
      </c>
    </row>
    <row r="785" spans="2:5" x14ac:dyDescent="0.3">
      <c r="B785" s="457">
        <v>751</v>
      </c>
      <c r="C785" s="18">
        <f t="shared" si="38"/>
        <v>12.516666666666667</v>
      </c>
      <c r="D785" s="18">
        <f t="shared" si="39"/>
        <v>21.858902034931059</v>
      </c>
      <c r="E785" s="18">
        <f t="shared" si="40"/>
        <v>36.35833790739332</v>
      </c>
    </row>
    <row r="786" spans="2:5" x14ac:dyDescent="0.3">
      <c r="B786" s="457">
        <v>752</v>
      </c>
      <c r="C786" s="18">
        <f t="shared" si="38"/>
        <v>12.533333333333333</v>
      </c>
      <c r="D786" s="18">
        <f t="shared" si="39"/>
        <v>21.858902102999718</v>
      </c>
      <c r="E786" s="18">
        <f t="shared" si="40"/>
        <v>36.358338506397516</v>
      </c>
    </row>
    <row r="787" spans="2:5" x14ac:dyDescent="0.3">
      <c r="B787" s="457">
        <v>753</v>
      </c>
      <c r="C787" s="18">
        <f t="shared" si="38"/>
        <v>12.55</v>
      </c>
      <c r="D787" s="18">
        <f t="shared" si="39"/>
        <v>21.858902169894673</v>
      </c>
      <c r="E787" s="18">
        <f t="shared" si="40"/>
        <v>36.35833909507312</v>
      </c>
    </row>
    <row r="788" spans="2:5" x14ac:dyDescent="0.3">
      <c r="B788" s="457">
        <v>754</v>
      </c>
      <c r="C788" s="18">
        <f t="shared" si="38"/>
        <v>12.566666666666666</v>
      </c>
      <c r="D788" s="18">
        <f t="shared" si="39"/>
        <v>21.858902235636162</v>
      </c>
      <c r="E788" s="18">
        <f t="shared" si="40"/>
        <v>36.358339673598223</v>
      </c>
    </row>
    <row r="789" spans="2:5" x14ac:dyDescent="0.3">
      <c r="B789" s="457">
        <v>755</v>
      </c>
      <c r="C789" s="18">
        <f t="shared" si="38"/>
        <v>12.583333333333334</v>
      </c>
      <c r="D789" s="18">
        <f t="shared" si="39"/>
        <v>21.858902300244075</v>
      </c>
      <c r="E789" s="18">
        <f t="shared" si="40"/>
        <v>36.358340242147868</v>
      </c>
    </row>
    <row r="790" spans="2:5" x14ac:dyDescent="0.3">
      <c r="B790" s="457">
        <v>756</v>
      </c>
      <c r="C790" s="18">
        <f t="shared" si="38"/>
        <v>12.6</v>
      </c>
      <c r="D790" s="18">
        <f t="shared" si="39"/>
        <v>21.858902363737961</v>
      </c>
      <c r="E790" s="18">
        <f t="shared" si="40"/>
        <v>36.358340800894048</v>
      </c>
    </row>
    <row r="791" spans="2:5" x14ac:dyDescent="0.3">
      <c r="B791" s="457">
        <v>757</v>
      </c>
      <c r="C791" s="18">
        <f t="shared" si="38"/>
        <v>12.616666666666667</v>
      </c>
      <c r="D791" s="18">
        <f t="shared" si="39"/>
        <v>21.858902426137025</v>
      </c>
      <c r="E791" s="18">
        <f t="shared" si="40"/>
        <v>36.358341350005809</v>
      </c>
    </row>
    <row r="792" spans="2:5" x14ac:dyDescent="0.3">
      <c r="B792" s="457">
        <v>758</v>
      </c>
      <c r="C792" s="18">
        <f t="shared" si="38"/>
        <v>12.633333333333333</v>
      </c>
      <c r="D792" s="18">
        <f t="shared" si="39"/>
        <v>21.858902487460146</v>
      </c>
      <c r="E792" s="18">
        <f t="shared" si="40"/>
        <v>36.358341889649267</v>
      </c>
    </row>
    <row r="793" spans="2:5" x14ac:dyDescent="0.3">
      <c r="B793" s="457">
        <v>759</v>
      </c>
      <c r="C793" s="18">
        <f t="shared" si="38"/>
        <v>12.65</v>
      </c>
      <c r="D793" s="18">
        <f t="shared" si="39"/>
        <v>21.858902547725876</v>
      </c>
      <c r="E793" s="18">
        <f t="shared" si="40"/>
        <v>36.358342419987693</v>
      </c>
    </row>
    <row r="794" spans="2:5" x14ac:dyDescent="0.3">
      <c r="B794" s="457">
        <v>760</v>
      </c>
      <c r="C794" s="18">
        <f t="shared" si="38"/>
        <v>12.666666666666666</v>
      </c>
      <c r="D794" s="18">
        <f t="shared" si="39"/>
        <v>21.858902606952448</v>
      </c>
      <c r="E794" s="18">
        <f t="shared" si="40"/>
        <v>36.358342941181533</v>
      </c>
    </row>
    <row r="795" spans="2:5" x14ac:dyDescent="0.3">
      <c r="B795" s="457">
        <v>761</v>
      </c>
      <c r="C795" s="18">
        <f t="shared" si="38"/>
        <v>12.683333333333334</v>
      </c>
      <c r="D795" s="18">
        <f t="shared" si="39"/>
        <v>21.858902665157782</v>
      </c>
      <c r="E795" s="18">
        <f t="shared" si="40"/>
        <v>36.358343453388471</v>
      </c>
    </row>
    <row r="796" spans="2:5" x14ac:dyDescent="0.3">
      <c r="B796" s="457">
        <v>762</v>
      </c>
      <c r="C796" s="18">
        <f t="shared" si="38"/>
        <v>12.7</v>
      </c>
      <c r="D796" s="18">
        <f t="shared" si="39"/>
        <v>21.858902722359481</v>
      </c>
      <c r="E796" s="18">
        <f t="shared" si="40"/>
        <v>36.358343956763449</v>
      </c>
    </row>
    <row r="797" spans="2:5" x14ac:dyDescent="0.3">
      <c r="B797" s="457">
        <v>763</v>
      </c>
      <c r="C797" s="18">
        <f t="shared" si="38"/>
        <v>12.716666666666667</v>
      </c>
      <c r="D797" s="18">
        <f t="shared" si="39"/>
        <v>21.858902778574858</v>
      </c>
      <c r="E797" s="18">
        <f t="shared" si="40"/>
        <v>36.358344451458777</v>
      </c>
    </row>
    <row r="798" spans="2:5" x14ac:dyDescent="0.3">
      <c r="B798" s="457">
        <v>764</v>
      </c>
      <c r="C798" s="18">
        <f t="shared" si="38"/>
        <v>12.733333333333333</v>
      </c>
      <c r="D798" s="18">
        <f t="shared" si="39"/>
        <v>21.85890283382092</v>
      </c>
      <c r="E798" s="18">
        <f t="shared" si="40"/>
        <v>36.358344937624096</v>
      </c>
    </row>
    <row r="799" spans="2:5" x14ac:dyDescent="0.3">
      <c r="B799" s="457">
        <v>765</v>
      </c>
      <c r="C799" s="18">
        <f t="shared" si="38"/>
        <v>12.75</v>
      </c>
      <c r="D799" s="18">
        <f t="shared" si="39"/>
        <v>21.858902888114375</v>
      </c>
      <c r="E799" s="18">
        <f t="shared" si="40"/>
        <v>36.358345415406504</v>
      </c>
    </row>
    <row r="800" spans="2:5" x14ac:dyDescent="0.3">
      <c r="B800" s="457">
        <v>766</v>
      </c>
      <c r="C800" s="18">
        <f t="shared" si="38"/>
        <v>12.766666666666667</v>
      </c>
      <c r="D800" s="18">
        <f t="shared" si="39"/>
        <v>21.858902941471651</v>
      </c>
      <c r="E800" s="18">
        <f t="shared" si="40"/>
        <v>36.358345884950552</v>
      </c>
    </row>
    <row r="801" spans="2:5" x14ac:dyDescent="0.3">
      <c r="B801" s="457">
        <v>767</v>
      </c>
      <c r="C801" s="18">
        <f t="shared" si="38"/>
        <v>12.783333333333333</v>
      </c>
      <c r="D801" s="18">
        <f t="shared" si="39"/>
        <v>21.858902993908895</v>
      </c>
      <c r="E801" s="18">
        <f t="shared" si="40"/>
        <v>36.358346346398278</v>
      </c>
    </row>
    <row r="802" spans="2:5" x14ac:dyDescent="0.3">
      <c r="B802" s="457">
        <v>768</v>
      </c>
      <c r="C802" s="18">
        <f t="shared" si="38"/>
        <v>12.8</v>
      </c>
      <c r="D802" s="18">
        <f t="shared" si="39"/>
        <v>21.858903045441963</v>
      </c>
      <c r="E802" s="18">
        <f t="shared" si="40"/>
        <v>36.35834679988929</v>
      </c>
    </row>
    <row r="803" spans="2:5" x14ac:dyDescent="0.3">
      <c r="B803" s="457">
        <v>769</v>
      </c>
      <c r="C803" s="18">
        <f t="shared" si="38"/>
        <v>12.816666666666666</v>
      </c>
      <c r="D803" s="18">
        <f t="shared" si="39"/>
        <v>21.858903096086454</v>
      </c>
      <c r="E803" s="18">
        <f t="shared" si="40"/>
        <v>36.358347245560793</v>
      </c>
    </row>
    <row r="804" spans="2:5" x14ac:dyDescent="0.3">
      <c r="B804" s="457">
        <v>770</v>
      </c>
      <c r="C804" s="18">
        <f t="shared" ref="C804:C867" si="41">B804/60</f>
        <v>12.833333333333334</v>
      </c>
      <c r="D804" s="18">
        <f t="shared" ref="D804:D867" si="42">$I$32+$G$27/$A$32/$D$32*(1-EXP(-B804/($G$32*$H$32/$A$32/$D$32)))</f>
        <v>21.858903145857681</v>
      </c>
      <c r="E804" s="18">
        <f t="shared" ref="E804:E867" si="43">$I$32+$G$27/$A$32/$E$32*(1-EXP(-B804/($G$32*$H$32/$A$32/$D$32)))</f>
        <v>36.358347683547606</v>
      </c>
    </row>
    <row r="805" spans="2:5" x14ac:dyDescent="0.3">
      <c r="B805" s="457">
        <v>771</v>
      </c>
      <c r="C805" s="18">
        <f t="shared" si="41"/>
        <v>12.85</v>
      </c>
      <c r="D805" s="18">
        <f t="shared" si="42"/>
        <v>21.858903194770711</v>
      </c>
      <c r="E805" s="18">
        <f t="shared" si="43"/>
        <v>36.358348113982252</v>
      </c>
    </row>
    <row r="806" spans="2:5" x14ac:dyDescent="0.3">
      <c r="B806" s="457">
        <v>772</v>
      </c>
      <c r="C806" s="18">
        <f t="shared" si="41"/>
        <v>12.866666666666667</v>
      </c>
      <c r="D806" s="18">
        <f t="shared" si="42"/>
        <v>21.858903242840334</v>
      </c>
      <c r="E806" s="18">
        <f t="shared" si="43"/>
        <v>36.358348536994939</v>
      </c>
    </row>
    <row r="807" spans="2:5" x14ac:dyDescent="0.3">
      <c r="B807" s="457">
        <v>773</v>
      </c>
      <c r="C807" s="18">
        <f t="shared" si="41"/>
        <v>12.883333333333333</v>
      </c>
      <c r="D807" s="18">
        <f t="shared" si="42"/>
        <v>21.858903290081095</v>
      </c>
      <c r="E807" s="18">
        <f t="shared" si="43"/>
        <v>36.358348952713655</v>
      </c>
    </row>
    <row r="808" spans="2:5" x14ac:dyDescent="0.3">
      <c r="B808" s="457">
        <v>774</v>
      </c>
      <c r="C808" s="18">
        <f t="shared" si="41"/>
        <v>12.9</v>
      </c>
      <c r="D808" s="18">
        <f t="shared" si="42"/>
        <v>21.858903336507289</v>
      </c>
      <c r="E808" s="18">
        <f t="shared" si="43"/>
        <v>36.358349361264153</v>
      </c>
    </row>
    <row r="809" spans="2:5" x14ac:dyDescent="0.3">
      <c r="B809" s="457">
        <v>775</v>
      </c>
      <c r="C809" s="18">
        <f t="shared" si="41"/>
        <v>12.916666666666666</v>
      </c>
      <c r="D809" s="18">
        <f t="shared" si="42"/>
        <v>21.858903382132958</v>
      </c>
      <c r="E809" s="18">
        <f t="shared" si="43"/>
        <v>36.358349762770047</v>
      </c>
    </row>
    <row r="810" spans="2:5" x14ac:dyDescent="0.3">
      <c r="B810" s="457">
        <v>776</v>
      </c>
      <c r="C810" s="18">
        <f t="shared" si="41"/>
        <v>12.933333333333334</v>
      </c>
      <c r="D810" s="18">
        <f t="shared" si="42"/>
        <v>21.85890342697191</v>
      </c>
      <c r="E810" s="18">
        <f t="shared" si="43"/>
        <v>36.358350157352803</v>
      </c>
    </row>
    <row r="811" spans="2:5" x14ac:dyDescent="0.3">
      <c r="B811" s="457">
        <v>777</v>
      </c>
      <c r="C811" s="18">
        <f t="shared" si="41"/>
        <v>12.95</v>
      </c>
      <c r="D811" s="18">
        <f t="shared" si="42"/>
        <v>21.858903471037703</v>
      </c>
      <c r="E811" s="18">
        <f t="shared" si="43"/>
        <v>36.358350545131785</v>
      </c>
    </row>
    <row r="812" spans="2:5" x14ac:dyDescent="0.3">
      <c r="B812" s="457">
        <v>778</v>
      </c>
      <c r="C812" s="18">
        <f t="shared" si="41"/>
        <v>12.966666666666667</v>
      </c>
      <c r="D812" s="18">
        <f t="shared" si="42"/>
        <v>21.858903514343673</v>
      </c>
      <c r="E812" s="18">
        <f t="shared" si="43"/>
        <v>36.358350926224333</v>
      </c>
    </row>
    <row r="813" spans="2:5" x14ac:dyDescent="0.3">
      <c r="B813" s="457">
        <v>779</v>
      </c>
      <c r="C813" s="18">
        <f t="shared" si="41"/>
        <v>12.983333333333333</v>
      </c>
      <c r="D813" s="18">
        <f t="shared" si="42"/>
        <v>21.858903556902924</v>
      </c>
      <c r="E813" s="18">
        <f t="shared" si="43"/>
        <v>36.358351300745731</v>
      </c>
    </row>
    <row r="814" spans="2:5" x14ac:dyDescent="0.3">
      <c r="B814" s="457">
        <v>780</v>
      </c>
      <c r="C814" s="18">
        <f t="shared" si="41"/>
        <v>13</v>
      </c>
      <c r="D814" s="18">
        <f t="shared" si="42"/>
        <v>21.858903598728325</v>
      </c>
      <c r="E814" s="18">
        <f t="shared" si="43"/>
        <v>36.358351668809277</v>
      </c>
    </row>
    <row r="815" spans="2:5" x14ac:dyDescent="0.3">
      <c r="B815" s="457">
        <v>781</v>
      </c>
      <c r="C815" s="18">
        <f t="shared" si="41"/>
        <v>13.016666666666667</v>
      </c>
      <c r="D815" s="18">
        <f t="shared" si="42"/>
        <v>21.858903639832537</v>
      </c>
      <c r="E815" s="18">
        <f t="shared" si="43"/>
        <v>36.358352030526333</v>
      </c>
    </row>
    <row r="816" spans="2:5" x14ac:dyDescent="0.3">
      <c r="B816" s="457">
        <v>782</v>
      </c>
      <c r="C816" s="18">
        <f t="shared" si="41"/>
        <v>13.033333333333333</v>
      </c>
      <c r="D816" s="18">
        <f t="shared" si="42"/>
        <v>21.858903680227989</v>
      </c>
      <c r="E816" s="18">
        <f t="shared" si="43"/>
        <v>36.358352386006317</v>
      </c>
    </row>
    <row r="817" spans="2:5" x14ac:dyDescent="0.3">
      <c r="B817" s="457">
        <v>783</v>
      </c>
      <c r="C817" s="18">
        <f t="shared" si="41"/>
        <v>13.05</v>
      </c>
      <c r="D817" s="18">
        <f t="shared" si="42"/>
        <v>21.858903719926907</v>
      </c>
      <c r="E817" s="18">
        <f t="shared" si="43"/>
        <v>36.358352735356796</v>
      </c>
    </row>
    <row r="818" spans="2:5" x14ac:dyDescent="0.3">
      <c r="B818" s="457">
        <v>784</v>
      </c>
      <c r="C818" s="18">
        <f t="shared" si="41"/>
        <v>13.066666666666666</v>
      </c>
      <c r="D818" s="18">
        <f t="shared" si="42"/>
        <v>21.858903758941299</v>
      </c>
      <c r="E818" s="18">
        <f t="shared" si="43"/>
        <v>36.35835307868345</v>
      </c>
    </row>
    <row r="819" spans="2:5" x14ac:dyDescent="0.3">
      <c r="B819" s="457">
        <v>785</v>
      </c>
      <c r="C819" s="18">
        <f t="shared" si="41"/>
        <v>13.083333333333334</v>
      </c>
      <c r="D819" s="18">
        <f t="shared" si="42"/>
        <v>21.85890379728297</v>
      </c>
      <c r="E819" s="18">
        <f t="shared" si="43"/>
        <v>36.358353416090139</v>
      </c>
    </row>
    <row r="820" spans="2:5" x14ac:dyDescent="0.3">
      <c r="B820" s="457">
        <v>786</v>
      </c>
      <c r="C820" s="18">
        <f t="shared" si="41"/>
        <v>13.1</v>
      </c>
      <c r="D820" s="18">
        <f t="shared" si="42"/>
        <v>21.858903834963517</v>
      </c>
      <c r="E820" s="18">
        <f t="shared" si="43"/>
        <v>36.358353747678947</v>
      </c>
    </row>
    <row r="821" spans="2:5" x14ac:dyDescent="0.3">
      <c r="B821" s="457">
        <v>787</v>
      </c>
      <c r="C821" s="18">
        <f t="shared" si="41"/>
        <v>13.116666666666667</v>
      </c>
      <c r="D821" s="18">
        <f t="shared" si="42"/>
        <v>21.85890387199434</v>
      </c>
      <c r="E821" s="18">
        <f t="shared" si="43"/>
        <v>36.358354073550196</v>
      </c>
    </row>
    <row r="822" spans="2:5" x14ac:dyDescent="0.3">
      <c r="B822" s="457">
        <v>788</v>
      </c>
      <c r="C822" s="18">
        <f t="shared" si="41"/>
        <v>13.133333333333333</v>
      </c>
      <c r="D822" s="18">
        <f t="shared" si="42"/>
        <v>21.858903908386644</v>
      </c>
      <c r="E822" s="18">
        <f t="shared" si="43"/>
        <v>36.358354393802472</v>
      </c>
    </row>
    <row r="823" spans="2:5" x14ac:dyDescent="0.3">
      <c r="B823" s="457">
        <v>789</v>
      </c>
      <c r="C823" s="18">
        <f t="shared" si="41"/>
        <v>13.15</v>
      </c>
      <c r="D823" s="18">
        <f t="shared" si="42"/>
        <v>21.858903944151436</v>
      </c>
      <c r="E823" s="18">
        <f t="shared" si="43"/>
        <v>36.358354708532652</v>
      </c>
    </row>
    <row r="824" spans="2:5" x14ac:dyDescent="0.3">
      <c r="B824" s="457">
        <v>790</v>
      </c>
      <c r="C824" s="18">
        <f t="shared" si="41"/>
        <v>13.166666666666666</v>
      </c>
      <c r="D824" s="18">
        <f t="shared" si="42"/>
        <v>21.858903979299541</v>
      </c>
      <c r="E824" s="18">
        <f t="shared" si="43"/>
        <v>36.358355017835969</v>
      </c>
    </row>
    <row r="825" spans="2:5" x14ac:dyDescent="0.3">
      <c r="B825" s="457">
        <v>791</v>
      </c>
      <c r="C825" s="18">
        <f t="shared" si="41"/>
        <v>13.183333333333334</v>
      </c>
      <c r="D825" s="18">
        <f t="shared" si="42"/>
        <v>21.858904013841588</v>
      </c>
      <c r="E825" s="18">
        <f t="shared" si="43"/>
        <v>36.358355321805988</v>
      </c>
    </row>
    <row r="826" spans="2:5" x14ac:dyDescent="0.3">
      <c r="B826" s="457">
        <v>792</v>
      </c>
      <c r="C826" s="18">
        <f t="shared" si="41"/>
        <v>13.2</v>
      </c>
      <c r="D826" s="18">
        <f t="shared" si="42"/>
        <v>21.85890404778803</v>
      </c>
      <c r="E826" s="18">
        <f t="shared" si="43"/>
        <v>36.358355620534674</v>
      </c>
    </row>
    <row r="827" spans="2:5" x14ac:dyDescent="0.3">
      <c r="B827" s="457">
        <v>793</v>
      </c>
      <c r="C827" s="18">
        <f t="shared" si="41"/>
        <v>13.216666666666667</v>
      </c>
      <c r="D827" s="18">
        <f t="shared" si="42"/>
        <v>21.858904081149134</v>
      </c>
      <c r="E827" s="18">
        <f t="shared" si="43"/>
        <v>36.358355914112401</v>
      </c>
    </row>
    <row r="828" spans="2:5" x14ac:dyDescent="0.3">
      <c r="B828" s="457">
        <v>794</v>
      </c>
      <c r="C828" s="18">
        <f t="shared" si="41"/>
        <v>13.233333333333333</v>
      </c>
      <c r="D828" s="18">
        <f t="shared" si="42"/>
        <v>21.858904113934997</v>
      </c>
      <c r="E828" s="18">
        <f t="shared" si="43"/>
        <v>36.358356202627988</v>
      </c>
    </row>
    <row r="829" spans="2:5" x14ac:dyDescent="0.3">
      <c r="B829" s="457">
        <v>795</v>
      </c>
      <c r="C829" s="18">
        <f t="shared" si="41"/>
        <v>13.25</v>
      </c>
      <c r="D829" s="18">
        <f t="shared" si="42"/>
        <v>21.858904146155535</v>
      </c>
      <c r="E829" s="18">
        <f t="shared" si="43"/>
        <v>36.358356486168717</v>
      </c>
    </row>
    <row r="830" spans="2:5" x14ac:dyDescent="0.3">
      <c r="B830" s="457">
        <v>796</v>
      </c>
      <c r="C830" s="18">
        <f t="shared" si="41"/>
        <v>13.266666666666667</v>
      </c>
      <c r="D830" s="18">
        <f t="shared" si="42"/>
        <v>21.858904177820499</v>
      </c>
      <c r="E830" s="18">
        <f t="shared" si="43"/>
        <v>36.358356764820378</v>
      </c>
    </row>
    <row r="831" spans="2:5" x14ac:dyDescent="0.3">
      <c r="B831" s="457">
        <v>797</v>
      </c>
      <c r="C831" s="18">
        <f t="shared" si="41"/>
        <v>13.283333333333333</v>
      </c>
      <c r="D831" s="18">
        <f t="shared" si="42"/>
        <v>21.858904208939464</v>
      </c>
      <c r="E831" s="18">
        <f t="shared" si="43"/>
        <v>36.358357038667265</v>
      </c>
    </row>
    <row r="832" spans="2:5" x14ac:dyDescent="0.3">
      <c r="B832" s="457">
        <v>798</v>
      </c>
      <c r="C832" s="18">
        <f t="shared" si="41"/>
        <v>13.3</v>
      </c>
      <c r="D832" s="18">
        <f t="shared" si="42"/>
        <v>21.858904239521845</v>
      </c>
      <c r="E832" s="18">
        <f t="shared" si="43"/>
        <v>36.358357307792232</v>
      </c>
    </row>
    <row r="833" spans="2:5" x14ac:dyDescent="0.3">
      <c r="B833" s="457">
        <v>799</v>
      </c>
      <c r="C833" s="18">
        <f t="shared" si="41"/>
        <v>13.316666666666666</v>
      </c>
      <c r="D833" s="18">
        <f t="shared" si="42"/>
        <v>21.858904269576897</v>
      </c>
      <c r="E833" s="18">
        <f t="shared" si="43"/>
        <v>36.358357572276695</v>
      </c>
    </row>
    <row r="834" spans="2:5" x14ac:dyDescent="0.3">
      <c r="B834" s="457">
        <v>800</v>
      </c>
      <c r="C834" s="18">
        <f t="shared" si="41"/>
        <v>13.333333333333334</v>
      </c>
      <c r="D834" s="18">
        <f t="shared" si="42"/>
        <v>21.858904299113714</v>
      </c>
      <c r="E834" s="18">
        <f t="shared" si="43"/>
        <v>36.358357832200667</v>
      </c>
    </row>
    <row r="835" spans="2:5" x14ac:dyDescent="0.3">
      <c r="B835" s="457">
        <v>801</v>
      </c>
      <c r="C835" s="18">
        <f t="shared" si="41"/>
        <v>13.35</v>
      </c>
      <c r="D835" s="18">
        <f t="shared" si="42"/>
        <v>21.858904328141225</v>
      </c>
      <c r="E835" s="18">
        <f t="shared" si="43"/>
        <v>36.358358087642799</v>
      </c>
    </row>
    <row r="836" spans="2:5" x14ac:dyDescent="0.3">
      <c r="B836" s="457">
        <v>802</v>
      </c>
      <c r="C836" s="18">
        <f t="shared" si="41"/>
        <v>13.366666666666667</v>
      </c>
      <c r="D836" s="18">
        <f t="shared" si="42"/>
        <v>21.858904356668223</v>
      </c>
      <c r="E836" s="18">
        <f t="shared" si="43"/>
        <v>36.358358338680347</v>
      </c>
    </row>
    <row r="837" spans="2:5" x14ac:dyDescent="0.3">
      <c r="B837" s="457">
        <v>803</v>
      </c>
      <c r="C837" s="18">
        <f t="shared" si="41"/>
        <v>13.383333333333333</v>
      </c>
      <c r="D837" s="18">
        <f t="shared" si="42"/>
        <v>21.858904384703326</v>
      </c>
      <c r="E837" s="18">
        <f t="shared" si="43"/>
        <v>36.358358585389283</v>
      </c>
    </row>
    <row r="838" spans="2:5" x14ac:dyDescent="0.3">
      <c r="B838" s="457">
        <v>804</v>
      </c>
      <c r="C838" s="18">
        <f t="shared" si="41"/>
        <v>13.4</v>
      </c>
      <c r="D838" s="18">
        <f t="shared" si="42"/>
        <v>21.858904412255026</v>
      </c>
      <c r="E838" s="18">
        <f t="shared" si="43"/>
        <v>36.358358827844228</v>
      </c>
    </row>
    <row r="839" spans="2:5" x14ac:dyDescent="0.3">
      <c r="B839" s="457">
        <v>805</v>
      </c>
      <c r="C839" s="18">
        <f t="shared" si="41"/>
        <v>13.416666666666666</v>
      </c>
      <c r="D839" s="18">
        <f t="shared" si="42"/>
        <v>21.858904439331653</v>
      </c>
      <c r="E839" s="18">
        <f t="shared" si="43"/>
        <v>36.358359066118538</v>
      </c>
    </row>
    <row r="840" spans="2:5" x14ac:dyDescent="0.3">
      <c r="B840" s="457">
        <v>806</v>
      </c>
      <c r="C840" s="18">
        <f t="shared" si="41"/>
        <v>13.433333333333334</v>
      </c>
      <c r="D840" s="18">
        <f t="shared" si="42"/>
        <v>21.858904465941396</v>
      </c>
      <c r="E840" s="18">
        <f t="shared" si="43"/>
        <v>36.358359300284306</v>
      </c>
    </row>
    <row r="841" spans="2:5" x14ac:dyDescent="0.3">
      <c r="B841" s="457">
        <v>807</v>
      </c>
      <c r="C841" s="18">
        <f t="shared" si="41"/>
        <v>13.45</v>
      </c>
      <c r="D841" s="18">
        <f t="shared" si="42"/>
        <v>21.858904492092314</v>
      </c>
      <c r="E841" s="18">
        <f t="shared" si="43"/>
        <v>36.358359530412365</v>
      </c>
    </row>
    <row r="842" spans="2:5" x14ac:dyDescent="0.3">
      <c r="B842" s="457">
        <v>808</v>
      </c>
      <c r="C842" s="18">
        <f t="shared" si="41"/>
        <v>13.466666666666667</v>
      </c>
      <c r="D842" s="18">
        <f t="shared" si="42"/>
        <v>21.858904517792311</v>
      </c>
      <c r="E842" s="18">
        <f t="shared" si="43"/>
        <v>36.358359756572341</v>
      </c>
    </row>
    <row r="843" spans="2:5" x14ac:dyDescent="0.3">
      <c r="B843" s="457">
        <v>809</v>
      </c>
      <c r="C843" s="18">
        <f t="shared" si="41"/>
        <v>13.483333333333333</v>
      </c>
      <c r="D843" s="18">
        <f t="shared" si="42"/>
        <v>21.858904543049167</v>
      </c>
      <c r="E843" s="18">
        <f t="shared" si="43"/>
        <v>36.358359978832659</v>
      </c>
    </row>
    <row r="844" spans="2:5" x14ac:dyDescent="0.3">
      <c r="B844" s="457">
        <v>810</v>
      </c>
      <c r="C844" s="18">
        <f t="shared" si="41"/>
        <v>13.5</v>
      </c>
      <c r="D844" s="18">
        <f t="shared" si="42"/>
        <v>21.858904567870518</v>
      </c>
      <c r="E844" s="18">
        <f t="shared" si="43"/>
        <v>36.358360197260559</v>
      </c>
    </row>
    <row r="845" spans="2:5" x14ac:dyDescent="0.3">
      <c r="B845" s="457">
        <v>811</v>
      </c>
      <c r="C845" s="18">
        <f t="shared" si="41"/>
        <v>13.516666666666667</v>
      </c>
      <c r="D845" s="18">
        <f t="shared" si="42"/>
        <v>21.858904592263876</v>
      </c>
      <c r="E845" s="18">
        <f t="shared" si="43"/>
        <v>36.358360411922121</v>
      </c>
    </row>
    <row r="846" spans="2:5" x14ac:dyDescent="0.3">
      <c r="B846" s="457">
        <v>812</v>
      </c>
      <c r="C846" s="18">
        <f t="shared" si="41"/>
        <v>13.533333333333333</v>
      </c>
      <c r="D846" s="18">
        <f t="shared" si="42"/>
        <v>21.858904616236622</v>
      </c>
      <c r="E846" s="18">
        <f t="shared" si="43"/>
        <v>36.358360622882287</v>
      </c>
    </row>
    <row r="847" spans="2:5" x14ac:dyDescent="0.3">
      <c r="B847" s="457">
        <v>813</v>
      </c>
      <c r="C847" s="18">
        <f t="shared" si="41"/>
        <v>13.55</v>
      </c>
      <c r="D847" s="18">
        <f t="shared" si="42"/>
        <v>21.858904639796009</v>
      </c>
      <c r="E847" s="18">
        <f t="shared" si="43"/>
        <v>36.358360830204887</v>
      </c>
    </row>
    <row r="848" spans="2:5" x14ac:dyDescent="0.3">
      <c r="B848" s="457">
        <v>814</v>
      </c>
      <c r="C848" s="18">
        <f t="shared" si="41"/>
        <v>13.566666666666666</v>
      </c>
      <c r="D848" s="18">
        <f t="shared" si="42"/>
        <v>21.858904662949161</v>
      </c>
      <c r="E848" s="18">
        <f t="shared" si="43"/>
        <v>36.358361033952633</v>
      </c>
    </row>
    <row r="849" spans="2:5" x14ac:dyDescent="0.3">
      <c r="B849" s="457">
        <v>815</v>
      </c>
      <c r="C849" s="18">
        <f t="shared" si="41"/>
        <v>13.583333333333334</v>
      </c>
      <c r="D849" s="18">
        <f t="shared" si="42"/>
        <v>21.858904685703088</v>
      </c>
      <c r="E849" s="18">
        <f t="shared" si="43"/>
        <v>36.358361234187171</v>
      </c>
    </row>
    <row r="850" spans="2:5" x14ac:dyDescent="0.3">
      <c r="B850" s="457">
        <v>816</v>
      </c>
      <c r="C850" s="18">
        <f t="shared" si="41"/>
        <v>13.6</v>
      </c>
      <c r="D850" s="18">
        <f t="shared" si="42"/>
        <v>21.858904708064667</v>
      </c>
      <c r="E850" s="18">
        <f t="shared" si="43"/>
        <v>36.358361430969076</v>
      </c>
    </row>
    <row r="851" spans="2:5" x14ac:dyDescent="0.3">
      <c r="B851" s="457">
        <v>817</v>
      </c>
      <c r="C851" s="18">
        <f t="shared" si="41"/>
        <v>13.616666666666667</v>
      </c>
      <c r="D851" s="18">
        <f t="shared" si="42"/>
        <v>21.85890473004067</v>
      </c>
      <c r="E851" s="18">
        <f t="shared" si="43"/>
        <v>36.35836162435789</v>
      </c>
    </row>
    <row r="852" spans="2:5" x14ac:dyDescent="0.3">
      <c r="B852" s="457">
        <v>818</v>
      </c>
      <c r="C852" s="18">
        <f t="shared" si="41"/>
        <v>13.633333333333333</v>
      </c>
      <c r="D852" s="18">
        <f t="shared" si="42"/>
        <v>21.858904751637741</v>
      </c>
      <c r="E852" s="18">
        <f t="shared" si="43"/>
        <v>36.358361814412113</v>
      </c>
    </row>
    <row r="853" spans="2:5" x14ac:dyDescent="0.3">
      <c r="B853" s="457">
        <v>819</v>
      </c>
      <c r="C853" s="18">
        <f t="shared" si="41"/>
        <v>13.65</v>
      </c>
      <c r="D853" s="18">
        <f t="shared" si="42"/>
        <v>21.858904772862413</v>
      </c>
      <c r="E853" s="18">
        <f t="shared" si="43"/>
        <v>36.358362001189242</v>
      </c>
    </row>
    <row r="854" spans="2:5" x14ac:dyDescent="0.3">
      <c r="B854" s="457">
        <v>820</v>
      </c>
      <c r="C854" s="18">
        <f t="shared" si="41"/>
        <v>13.666666666666666</v>
      </c>
      <c r="D854" s="18">
        <f t="shared" si="42"/>
        <v>21.858904793721113</v>
      </c>
      <c r="E854" s="18">
        <f t="shared" si="43"/>
        <v>36.358362184745786</v>
      </c>
    </row>
    <row r="855" spans="2:5" x14ac:dyDescent="0.3">
      <c r="B855" s="457">
        <v>821</v>
      </c>
      <c r="C855" s="18">
        <f t="shared" si="41"/>
        <v>13.683333333333334</v>
      </c>
      <c r="D855" s="18">
        <f t="shared" si="42"/>
        <v>21.858904814220146</v>
      </c>
      <c r="E855" s="18">
        <f t="shared" si="43"/>
        <v>36.358362365137282</v>
      </c>
    </row>
    <row r="856" spans="2:5" x14ac:dyDescent="0.3">
      <c r="B856" s="457">
        <v>822</v>
      </c>
      <c r="C856" s="18">
        <f t="shared" si="41"/>
        <v>13.7</v>
      </c>
      <c r="D856" s="18">
        <f t="shared" si="42"/>
        <v>21.858904834365713</v>
      </c>
      <c r="E856" s="18">
        <f t="shared" si="43"/>
        <v>36.358362542418291</v>
      </c>
    </row>
    <row r="857" spans="2:5" x14ac:dyDescent="0.3">
      <c r="B857" s="457">
        <v>823</v>
      </c>
      <c r="C857" s="18">
        <f t="shared" si="41"/>
        <v>13.716666666666667</v>
      </c>
      <c r="D857" s="18">
        <f t="shared" si="42"/>
        <v>21.858904854163917</v>
      </c>
      <c r="E857" s="18">
        <f t="shared" si="43"/>
        <v>36.358362716642461</v>
      </c>
    </row>
    <row r="858" spans="2:5" x14ac:dyDescent="0.3">
      <c r="B858" s="457">
        <v>824</v>
      </c>
      <c r="C858" s="18">
        <f t="shared" si="41"/>
        <v>13.733333333333333</v>
      </c>
      <c r="D858" s="18">
        <f t="shared" si="42"/>
        <v>21.858904873620737</v>
      </c>
      <c r="E858" s="18">
        <f t="shared" si="43"/>
        <v>36.358362887862498</v>
      </c>
    </row>
    <row r="859" spans="2:5" x14ac:dyDescent="0.3">
      <c r="B859" s="457">
        <v>825</v>
      </c>
      <c r="C859" s="18">
        <f t="shared" si="41"/>
        <v>13.75</v>
      </c>
      <c r="D859" s="18">
        <f t="shared" si="42"/>
        <v>21.858904892742068</v>
      </c>
      <c r="E859" s="18">
        <f t="shared" si="43"/>
        <v>36.358363056130202</v>
      </c>
    </row>
    <row r="860" spans="2:5" x14ac:dyDescent="0.3">
      <c r="B860" s="457">
        <v>826</v>
      </c>
      <c r="C860" s="18">
        <f t="shared" si="41"/>
        <v>13.766666666666667</v>
      </c>
      <c r="D860" s="18">
        <f t="shared" si="42"/>
        <v>21.858904911533688</v>
      </c>
      <c r="E860" s="18">
        <f t="shared" si="43"/>
        <v>36.358363221496475</v>
      </c>
    </row>
    <row r="861" spans="2:5" x14ac:dyDescent="0.3">
      <c r="B861" s="457">
        <v>827</v>
      </c>
      <c r="C861" s="18">
        <f t="shared" si="41"/>
        <v>13.783333333333333</v>
      </c>
      <c r="D861" s="18">
        <f t="shared" si="42"/>
        <v>21.858904930001287</v>
      </c>
      <c r="E861" s="18">
        <f t="shared" si="43"/>
        <v>36.358363384011341</v>
      </c>
    </row>
    <row r="862" spans="2:5" x14ac:dyDescent="0.3">
      <c r="B862" s="457">
        <v>828</v>
      </c>
      <c r="C862" s="18">
        <f t="shared" si="41"/>
        <v>13.8</v>
      </c>
      <c r="D862" s="18">
        <f t="shared" si="42"/>
        <v>21.858904948150453</v>
      </c>
      <c r="E862" s="18">
        <f t="shared" si="43"/>
        <v>36.358363543723982</v>
      </c>
    </row>
    <row r="863" spans="2:5" x14ac:dyDescent="0.3">
      <c r="B863" s="457">
        <v>829</v>
      </c>
      <c r="C863" s="18">
        <f t="shared" si="41"/>
        <v>13.816666666666666</v>
      </c>
      <c r="D863" s="18">
        <f t="shared" si="42"/>
        <v>21.858904965986671</v>
      </c>
      <c r="E863" s="18">
        <f t="shared" si="43"/>
        <v>36.358363700682709</v>
      </c>
    </row>
    <row r="864" spans="2:5" x14ac:dyDescent="0.3">
      <c r="B864" s="457">
        <v>830</v>
      </c>
      <c r="C864" s="18">
        <f t="shared" si="41"/>
        <v>13.833333333333334</v>
      </c>
      <c r="D864" s="18">
        <f t="shared" si="42"/>
        <v>21.858904983515341</v>
      </c>
      <c r="E864" s="18">
        <f t="shared" si="43"/>
        <v>36.358363854935007</v>
      </c>
    </row>
    <row r="865" spans="2:5" x14ac:dyDescent="0.3">
      <c r="B865" s="457">
        <v>831</v>
      </c>
      <c r="C865" s="18">
        <f t="shared" si="41"/>
        <v>13.85</v>
      </c>
      <c r="D865" s="18">
        <f t="shared" si="42"/>
        <v>21.858905000741764</v>
      </c>
      <c r="E865" s="18">
        <f t="shared" si="43"/>
        <v>36.358364006527538</v>
      </c>
    </row>
    <row r="866" spans="2:5" x14ac:dyDescent="0.3">
      <c r="B866" s="457">
        <v>832</v>
      </c>
      <c r="C866" s="18">
        <f t="shared" si="41"/>
        <v>13.866666666666667</v>
      </c>
      <c r="D866" s="18">
        <f t="shared" si="42"/>
        <v>21.858905017671155</v>
      </c>
      <c r="E866" s="18">
        <f t="shared" si="43"/>
        <v>36.35836415550618</v>
      </c>
    </row>
    <row r="867" spans="2:5" x14ac:dyDescent="0.3">
      <c r="B867" s="457">
        <v>833</v>
      </c>
      <c r="C867" s="18">
        <f t="shared" si="41"/>
        <v>13.883333333333333</v>
      </c>
      <c r="D867" s="18">
        <f t="shared" si="42"/>
        <v>21.858905034308634</v>
      </c>
      <c r="E867" s="18">
        <f t="shared" si="43"/>
        <v>36.358364301915984</v>
      </c>
    </row>
    <row r="868" spans="2:5" x14ac:dyDescent="0.3">
      <c r="B868" s="457">
        <v>834</v>
      </c>
      <c r="C868" s="18">
        <f t="shared" ref="C868:C931" si="44">B868/60</f>
        <v>13.9</v>
      </c>
      <c r="D868" s="18">
        <f t="shared" ref="D868:D931" si="45">$I$32+$G$27/$A$32/$D$32*(1-EXP(-B868/($G$32*$H$32/$A$32/$D$32)))</f>
        <v>21.858905050659235</v>
      </c>
      <c r="E868" s="18">
        <f t="shared" ref="E868:E931" si="46">$I$32+$G$27/$A$32/$E$32*(1-EXP(-B868/($G$32*$H$32/$A$32/$D$32)))</f>
        <v>36.358364445801257</v>
      </c>
    </row>
    <row r="869" spans="2:5" x14ac:dyDescent="0.3">
      <c r="B869" s="457">
        <v>835</v>
      </c>
      <c r="C869" s="18">
        <f t="shared" si="44"/>
        <v>13.916666666666666</v>
      </c>
      <c r="D869" s="18">
        <f t="shared" si="45"/>
        <v>21.8589050667279</v>
      </c>
      <c r="E869" s="18">
        <f t="shared" si="46"/>
        <v>36.358364587205529</v>
      </c>
    </row>
    <row r="870" spans="2:5" x14ac:dyDescent="0.3">
      <c r="B870" s="457">
        <v>836</v>
      </c>
      <c r="C870" s="18">
        <f t="shared" si="44"/>
        <v>13.933333333333334</v>
      </c>
      <c r="D870" s="18">
        <f t="shared" si="45"/>
        <v>21.858905082519499</v>
      </c>
      <c r="E870" s="18">
        <f t="shared" si="46"/>
        <v>36.358364726171573</v>
      </c>
    </row>
    <row r="871" spans="2:5" x14ac:dyDescent="0.3">
      <c r="B871" s="457">
        <v>837</v>
      </c>
      <c r="C871" s="18">
        <f t="shared" si="44"/>
        <v>13.95</v>
      </c>
      <c r="D871" s="18">
        <f t="shared" si="45"/>
        <v>21.8589050980388</v>
      </c>
      <c r="E871" s="18">
        <f t="shared" si="46"/>
        <v>36.358364862741439</v>
      </c>
    </row>
    <row r="872" spans="2:5" x14ac:dyDescent="0.3">
      <c r="B872" s="457">
        <v>838</v>
      </c>
      <c r="C872" s="18">
        <f t="shared" si="44"/>
        <v>13.966666666666667</v>
      </c>
      <c r="D872" s="18">
        <f t="shared" si="45"/>
        <v>21.858905113290504</v>
      </c>
      <c r="E872" s="18">
        <f t="shared" si="46"/>
        <v>36.358364996956439</v>
      </c>
    </row>
    <row r="873" spans="2:5" x14ac:dyDescent="0.3">
      <c r="B873" s="457">
        <v>839</v>
      </c>
      <c r="C873" s="18">
        <f t="shared" si="44"/>
        <v>13.983333333333333</v>
      </c>
      <c r="D873" s="18">
        <f t="shared" si="45"/>
        <v>21.858905128279225</v>
      </c>
      <c r="E873" s="18">
        <f t="shared" si="46"/>
        <v>36.35836512885718</v>
      </c>
    </row>
    <row r="874" spans="2:5" x14ac:dyDescent="0.3">
      <c r="B874" s="457">
        <v>840</v>
      </c>
      <c r="C874" s="18">
        <f t="shared" si="44"/>
        <v>14</v>
      </c>
      <c r="D874" s="18">
        <f t="shared" si="45"/>
        <v>21.858905143009494</v>
      </c>
      <c r="E874" s="18">
        <f t="shared" si="46"/>
        <v>36.358365258483559</v>
      </c>
    </row>
    <row r="875" spans="2:5" x14ac:dyDescent="0.3">
      <c r="B875" s="457">
        <v>841</v>
      </c>
      <c r="C875" s="18">
        <f t="shared" si="44"/>
        <v>14.016666666666667</v>
      </c>
      <c r="D875" s="18">
        <f t="shared" si="45"/>
        <v>21.858905157485772</v>
      </c>
      <c r="E875" s="18">
        <f t="shared" si="46"/>
        <v>36.358365385874805</v>
      </c>
    </row>
    <row r="876" spans="2:5" x14ac:dyDescent="0.3">
      <c r="B876" s="457">
        <v>842</v>
      </c>
      <c r="C876" s="18">
        <f t="shared" si="44"/>
        <v>14.033333333333333</v>
      </c>
      <c r="D876" s="18">
        <f t="shared" si="45"/>
        <v>21.85890517171244</v>
      </c>
      <c r="E876" s="18">
        <f t="shared" si="46"/>
        <v>36.358365511069458</v>
      </c>
    </row>
    <row r="877" spans="2:5" x14ac:dyDescent="0.3">
      <c r="B877" s="457">
        <v>843</v>
      </c>
      <c r="C877" s="18">
        <f t="shared" si="44"/>
        <v>14.05</v>
      </c>
      <c r="D877" s="18">
        <f t="shared" si="45"/>
        <v>21.858905185693793</v>
      </c>
      <c r="E877" s="18">
        <f t="shared" si="46"/>
        <v>36.358365634105382</v>
      </c>
    </row>
    <row r="878" spans="2:5" x14ac:dyDescent="0.3">
      <c r="B878" s="457">
        <v>844</v>
      </c>
      <c r="C878" s="18">
        <f t="shared" si="44"/>
        <v>14.066666666666666</v>
      </c>
      <c r="D878" s="18">
        <f t="shared" si="45"/>
        <v>21.858905199434069</v>
      </c>
      <c r="E878" s="18">
        <f t="shared" si="46"/>
        <v>36.358365755019804</v>
      </c>
    </row>
    <row r="879" spans="2:5" x14ac:dyDescent="0.3">
      <c r="B879" s="457">
        <v>845</v>
      </c>
      <c r="C879" s="18">
        <f t="shared" si="44"/>
        <v>14.083333333333334</v>
      </c>
      <c r="D879" s="18">
        <f t="shared" si="45"/>
        <v>21.858905212937422</v>
      </c>
      <c r="E879" s="18">
        <f t="shared" si="46"/>
        <v>36.358365873849316</v>
      </c>
    </row>
    <row r="880" spans="2:5" x14ac:dyDescent="0.3">
      <c r="B880" s="457">
        <v>846</v>
      </c>
      <c r="C880" s="18">
        <f t="shared" si="44"/>
        <v>14.1</v>
      </c>
      <c r="D880" s="18">
        <f t="shared" si="45"/>
        <v>21.858905226207938</v>
      </c>
      <c r="E880" s="18">
        <f t="shared" si="46"/>
        <v>36.358365990629849</v>
      </c>
    </row>
    <row r="881" spans="2:5" x14ac:dyDescent="0.3">
      <c r="B881" s="457">
        <v>847</v>
      </c>
      <c r="C881" s="18">
        <f t="shared" si="44"/>
        <v>14.116666666666667</v>
      </c>
      <c r="D881" s="18">
        <f t="shared" si="45"/>
        <v>21.85890523924963</v>
      </c>
      <c r="E881" s="18">
        <f t="shared" si="46"/>
        <v>36.358366105396755</v>
      </c>
    </row>
    <row r="882" spans="2:5" x14ac:dyDescent="0.3">
      <c r="B882" s="457">
        <v>848</v>
      </c>
      <c r="C882" s="18">
        <f t="shared" si="44"/>
        <v>14.133333333333333</v>
      </c>
      <c r="D882" s="18">
        <f t="shared" si="45"/>
        <v>21.858905252066446</v>
      </c>
      <c r="E882" s="18">
        <f t="shared" si="46"/>
        <v>36.358366218184727</v>
      </c>
    </row>
    <row r="883" spans="2:5" x14ac:dyDescent="0.3">
      <c r="B883" s="457">
        <v>849</v>
      </c>
      <c r="C883" s="18">
        <f t="shared" si="44"/>
        <v>14.15</v>
      </c>
      <c r="D883" s="18">
        <f t="shared" si="45"/>
        <v>21.858905264662262</v>
      </c>
      <c r="E883" s="18">
        <f t="shared" si="46"/>
        <v>36.358366329027916</v>
      </c>
    </row>
    <row r="884" spans="2:5" x14ac:dyDescent="0.3">
      <c r="B884" s="457">
        <v>850</v>
      </c>
      <c r="C884" s="18">
        <f t="shared" si="44"/>
        <v>14.166666666666666</v>
      </c>
      <c r="D884" s="18">
        <f t="shared" si="45"/>
        <v>21.85890527704089</v>
      </c>
      <c r="E884" s="18">
        <f t="shared" si="46"/>
        <v>36.358366437959845</v>
      </c>
    </row>
    <row r="885" spans="2:5" x14ac:dyDescent="0.3">
      <c r="B885" s="457">
        <v>851</v>
      </c>
      <c r="C885" s="18">
        <f t="shared" si="44"/>
        <v>14.183333333333334</v>
      </c>
      <c r="D885" s="18">
        <f t="shared" si="45"/>
        <v>21.858905289206074</v>
      </c>
      <c r="E885" s="18">
        <f t="shared" si="46"/>
        <v>36.358366545013453</v>
      </c>
    </row>
    <row r="886" spans="2:5" x14ac:dyDescent="0.3">
      <c r="B886" s="457">
        <v>852</v>
      </c>
      <c r="C886" s="18">
        <f t="shared" si="44"/>
        <v>14.2</v>
      </c>
      <c r="D886" s="18">
        <f t="shared" si="45"/>
        <v>21.858905301161496</v>
      </c>
      <c r="E886" s="18">
        <f t="shared" si="46"/>
        <v>36.358366650221157</v>
      </c>
    </row>
    <row r="887" spans="2:5" x14ac:dyDescent="0.3">
      <c r="B887" s="457">
        <v>853</v>
      </c>
      <c r="C887" s="18">
        <f t="shared" si="44"/>
        <v>14.216666666666667</v>
      </c>
      <c r="D887" s="18">
        <f t="shared" si="45"/>
        <v>21.858905312910771</v>
      </c>
      <c r="E887" s="18">
        <f t="shared" si="46"/>
        <v>36.358366753614774</v>
      </c>
    </row>
    <row r="888" spans="2:5" x14ac:dyDescent="0.3">
      <c r="B888" s="457">
        <v>854</v>
      </c>
      <c r="C888" s="18">
        <f t="shared" si="44"/>
        <v>14.233333333333333</v>
      </c>
      <c r="D888" s="18">
        <f t="shared" si="45"/>
        <v>21.858905324457453</v>
      </c>
      <c r="E888" s="18">
        <f t="shared" si="46"/>
        <v>36.358366855225576</v>
      </c>
    </row>
    <row r="889" spans="2:5" x14ac:dyDescent="0.3">
      <c r="B889" s="457">
        <v>855</v>
      </c>
      <c r="C889" s="18">
        <f t="shared" si="44"/>
        <v>14.25</v>
      </c>
      <c r="D889" s="18">
        <f t="shared" si="45"/>
        <v>21.858905335805034</v>
      </c>
      <c r="E889" s="18">
        <f t="shared" si="46"/>
        <v>36.358366955084307</v>
      </c>
    </row>
    <row r="890" spans="2:5" x14ac:dyDescent="0.3">
      <c r="B890" s="457">
        <v>856</v>
      </c>
      <c r="C890" s="18">
        <f t="shared" si="44"/>
        <v>14.266666666666667</v>
      </c>
      <c r="D890" s="18">
        <f t="shared" si="45"/>
        <v>21.858905346956952</v>
      </c>
      <c r="E890" s="18">
        <f t="shared" si="46"/>
        <v>36.358367053221187</v>
      </c>
    </row>
    <row r="891" spans="2:5" x14ac:dyDescent="0.3">
      <c r="B891" s="457">
        <v>857</v>
      </c>
      <c r="C891" s="18">
        <f t="shared" si="44"/>
        <v>14.283333333333333</v>
      </c>
      <c r="D891" s="18">
        <f t="shared" si="45"/>
        <v>21.85890535791658</v>
      </c>
      <c r="E891" s="18">
        <f t="shared" si="46"/>
        <v>36.358367149665895</v>
      </c>
    </row>
    <row r="892" spans="2:5" x14ac:dyDescent="0.3">
      <c r="B892" s="457">
        <v>858</v>
      </c>
      <c r="C892" s="18">
        <f t="shared" si="44"/>
        <v>14.3</v>
      </c>
      <c r="D892" s="18">
        <f t="shared" si="45"/>
        <v>21.858905368687228</v>
      </c>
      <c r="E892" s="18">
        <f t="shared" si="46"/>
        <v>36.358367244447621</v>
      </c>
    </row>
    <row r="893" spans="2:5" x14ac:dyDescent="0.3">
      <c r="B893" s="457">
        <v>859</v>
      </c>
      <c r="C893" s="18">
        <f t="shared" si="44"/>
        <v>14.316666666666666</v>
      </c>
      <c r="D893" s="18">
        <f t="shared" si="45"/>
        <v>21.858905379272162</v>
      </c>
      <c r="E893" s="18">
        <f t="shared" si="46"/>
        <v>36.358367337595027</v>
      </c>
    </row>
    <row r="894" spans="2:5" x14ac:dyDescent="0.3">
      <c r="B894" s="457">
        <v>860</v>
      </c>
      <c r="C894" s="18">
        <f t="shared" si="44"/>
        <v>14.333333333333334</v>
      </c>
      <c r="D894" s="18">
        <f t="shared" si="45"/>
        <v>21.858905389674579</v>
      </c>
      <c r="E894" s="18">
        <f t="shared" si="46"/>
        <v>36.358367429136294</v>
      </c>
    </row>
    <row r="895" spans="2:5" x14ac:dyDescent="0.3">
      <c r="B895" s="457">
        <v>861</v>
      </c>
      <c r="C895" s="18">
        <f t="shared" si="44"/>
        <v>14.35</v>
      </c>
      <c r="D895" s="18">
        <f t="shared" si="45"/>
        <v>21.85890539989763</v>
      </c>
      <c r="E895" s="18">
        <f t="shared" si="46"/>
        <v>36.358367519099126</v>
      </c>
    </row>
    <row r="896" spans="2:5" x14ac:dyDescent="0.3">
      <c r="B896" s="457">
        <v>862</v>
      </c>
      <c r="C896" s="18">
        <f t="shared" si="44"/>
        <v>14.366666666666667</v>
      </c>
      <c r="D896" s="18">
        <f t="shared" si="45"/>
        <v>21.858905409944402</v>
      </c>
      <c r="E896" s="18">
        <f t="shared" si="46"/>
        <v>36.358367607510736</v>
      </c>
    </row>
    <row r="897" spans="2:5" x14ac:dyDescent="0.3">
      <c r="B897" s="457">
        <v>863</v>
      </c>
      <c r="C897" s="18">
        <f t="shared" si="44"/>
        <v>14.383333333333333</v>
      </c>
      <c r="D897" s="18">
        <f t="shared" si="45"/>
        <v>21.85890541981794</v>
      </c>
      <c r="E897" s="18">
        <f t="shared" si="46"/>
        <v>36.35836769439787</v>
      </c>
    </row>
    <row r="898" spans="2:5" x14ac:dyDescent="0.3">
      <c r="B898" s="457">
        <v>864</v>
      </c>
      <c r="C898" s="18">
        <f t="shared" si="44"/>
        <v>14.4</v>
      </c>
      <c r="D898" s="18">
        <f t="shared" si="45"/>
        <v>21.858905429521229</v>
      </c>
      <c r="E898" s="18">
        <f t="shared" si="46"/>
        <v>36.358367779786818</v>
      </c>
    </row>
    <row r="899" spans="2:5" x14ac:dyDescent="0.3">
      <c r="B899" s="457">
        <v>865</v>
      </c>
      <c r="C899" s="18">
        <f t="shared" si="44"/>
        <v>14.416666666666666</v>
      </c>
      <c r="D899" s="18">
        <f t="shared" si="45"/>
        <v>21.858905439057203</v>
      </c>
      <c r="E899" s="18">
        <f t="shared" si="46"/>
        <v>36.358367863703407</v>
      </c>
    </row>
    <row r="900" spans="2:5" x14ac:dyDescent="0.3">
      <c r="B900" s="457">
        <v>866</v>
      </c>
      <c r="C900" s="18">
        <f t="shared" si="44"/>
        <v>14.433333333333334</v>
      </c>
      <c r="D900" s="18">
        <f t="shared" si="45"/>
        <v>21.858905448428754</v>
      </c>
      <c r="E900" s="18">
        <f t="shared" si="46"/>
        <v>36.358367946173026</v>
      </c>
    </row>
    <row r="901" spans="2:5" x14ac:dyDescent="0.3">
      <c r="B901" s="457">
        <v>867</v>
      </c>
      <c r="C901" s="18">
        <f t="shared" si="44"/>
        <v>14.45</v>
      </c>
      <c r="D901" s="18">
        <f t="shared" si="45"/>
        <v>21.858905457638709</v>
      </c>
      <c r="E901" s="18">
        <f t="shared" si="46"/>
        <v>36.358368027220628</v>
      </c>
    </row>
    <row r="902" spans="2:5" x14ac:dyDescent="0.3">
      <c r="B902" s="457">
        <v>868</v>
      </c>
      <c r="C902" s="18">
        <f t="shared" si="44"/>
        <v>14.466666666666667</v>
      </c>
      <c r="D902" s="18">
        <f t="shared" si="45"/>
        <v>21.858905466689855</v>
      </c>
      <c r="E902" s="18">
        <f t="shared" si="46"/>
        <v>36.358368106870735</v>
      </c>
    </row>
    <row r="903" spans="2:5" x14ac:dyDescent="0.3">
      <c r="B903" s="457">
        <v>869</v>
      </c>
      <c r="C903" s="18">
        <f t="shared" si="44"/>
        <v>14.483333333333333</v>
      </c>
      <c r="D903" s="18">
        <f t="shared" si="45"/>
        <v>21.858905475584937</v>
      </c>
      <c r="E903" s="18">
        <f t="shared" si="46"/>
        <v>36.358368185147441</v>
      </c>
    </row>
    <row r="904" spans="2:5" x14ac:dyDescent="0.3">
      <c r="B904" s="457">
        <v>870</v>
      </c>
      <c r="C904" s="18">
        <f t="shared" si="44"/>
        <v>14.5</v>
      </c>
      <c r="D904" s="18">
        <f t="shared" si="45"/>
        <v>21.858905484326637</v>
      </c>
      <c r="E904" s="18">
        <f t="shared" si="46"/>
        <v>36.358368262074421</v>
      </c>
    </row>
    <row r="905" spans="2:5" x14ac:dyDescent="0.3">
      <c r="B905" s="457">
        <v>871</v>
      </c>
      <c r="C905" s="18">
        <f t="shared" si="44"/>
        <v>14.516666666666667</v>
      </c>
      <c r="D905" s="18">
        <f t="shared" si="45"/>
        <v>21.858905492917611</v>
      </c>
      <c r="E905" s="18">
        <f t="shared" si="46"/>
        <v>36.35836833767496</v>
      </c>
    </row>
    <row r="906" spans="2:5" x14ac:dyDescent="0.3">
      <c r="B906" s="457">
        <v>872</v>
      </c>
      <c r="C906" s="18">
        <f t="shared" si="44"/>
        <v>14.533333333333333</v>
      </c>
      <c r="D906" s="18">
        <f t="shared" si="45"/>
        <v>21.858905501360447</v>
      </c>
      <c r="E906" s="18">
        <f t="shared" si="46"/>
        <v>36.358368411971924</v>
      </c>
    </row>
    <row r="907" spans="2:5" x14ac:dyDescent="0.3">
      <c r="B907" s="457">
        <v>873</v>
      </c>
      <c r="C907" s="18">
        <f t="shared" si="44"/>
        <v>14.55</v>
      </c>
      <c r="D907" s="18">
        <f t="shared" si="45"/>
        <v>21.858905509657703</v>
      </c>
      <c r="E907" s="18">
        <f t="shared" si="46"/>
        <v>36.358368484987793</v>
      </c>
    </row>
    <row r="908" spans="2:5" x14ac:dyDescent="0.3">
      <c r="B908" s="457">
        <v>874</v>
      </c>
      <c r="C908" s="18">
        <f t="shared" si="44"/>
        <v>14.566666666666666</v>
      </c>
      <c r="D908" s="18">
        <f t="shared" si="45"/>
        <v>21.858905517811891</v>
      </c>
      <c r="E908" s="18">
        <f t="shared" si="46"/>
        <v>36.358368556744651</v>
      </c>
    </row>
    <row r="909" spans="2:5" x14ac:dyDescent="0.3">
      <c r="B909" s="457">
        <v>875</v>
      </c>
      <c r="C909" s="18">
        <f t="shared" si="44"/>
        <v>14.583333333333334</v>
      </c>
      <c r="D909" s="18">
        <f t="shared" si="45"/>
        <v>21.858905525825477</v>
      </c>
      <c r="E909" s="18">
        <f t="shared" si="46"/>
        <v>36.358368627264213</v>
      </c>
    </row>
    <row r="910" spans="2:5" x14ac:dyDescent="0.3">
      <c r="B910" s="457">
        <v>876</v>
      </c>
      <c r="C910" s="18">
        <f t="shared" si="44"/>
        <v>14.6</v>
      </c>
      <c r="D910" s="18">
        <f t="shared" si="45"/>
        <v>21.858905533700888</v>
      </c>
      <c r="E910" s="18">
        <f t="shared" si="46"/>
        <v>36.358368696567808</v>
      </c>
    </row>
    <row r="911" spans="2:5" x14ac:dyDescent="0.3">
      <c r="B911" s="457">
        <v>877</v>
      </c>
      <c r="C911" s="18">
        <f t="shared" si="44"/>
        <v>14.616666666666667</v>
      </c>
      <c r="D911" s="18">
        <f t="shared" si="45"/>
        <v>21.8589055414405</v>
      </c>
      <c r="E911" s="18">
        <f t="shared" si="46"/>
        <v>36.358368764676399</v>
      </c>
    </row>
    <row r="912" spans="2:5" x14ac:dyDescent="0.3">
      <c r="B912" s="457">
        <v>878</v>
      </c>
      <c r="C912" s="18">
        <f t="shared" si="44"/>
        <v>14.633333333333333</v>
      </c>
      <c r="D912" s="18">
        <f t="shared" si="45"/>
        <v>21.858905549046661</v>
      </c>
      <c r="E912" s="18">
        <f t="shared" si="46"/>
        <v>36.358368831610605</v>
      </c>
    </row>
    <row r="913" spans="2:5" x14ac:dyDescent="0.3">
      <c r="B913" s="457">
        <v>879</v>
      </c>
      <c r="C913" s="18">
        <f t="shared" si="44"/>
        <v>14.65</v>
      </c>
      <c r="D913" s="18">
        <f t="shared" si="45"/>
        <v>21.858905556521666</v>
      </c>
      <c r="E913" s="18">
        <f t="shared" si="46"/>
        <v>36.358368897390676</v>
      </c>
    </row>
    <row r="914" spans="2:5" x14ac:dyDescent="0.3">
      <c r="B914" s="457">
        <v>880</v>
      </c>
      <c r="C914" s="18">
        <f t="shared" si="44"/>
        <v>14.666666666666666</v>
      </c>
      <c r="D914" s="18">
        <f t="shared" si="45"/>
        <v>21.858905563867783</v>
      </c>
      <c r="E914" s="18">
        <f t="shared" si="46"/>
        <v>36.358368962036494</v>
      </c>
    </row>
    <row r="915" spans="2:5" x14ac:dyDescent="0.3">
      <c r="B915" s="457">
        <v>881</v>
      </c>
      <c r="C915" s="18">
        <f t="shared" si="44"/>
        <v>14.683333333333334</v>
      </c>
      <c r="D915" s="18">
        <f t="shared" si="45"/>
        <v>21.858905571087231</v>
      </c>
      <c r="E915" s="18">
        <f t="shared" si="46"/>
        <v>36.35836902556764</v>
      </c>
    </row>
    <row r="916" spans="2:5" x14ac:dyDescent="0.3">
      <c r="B916" s="457">
        <v>882</v>
      </c>
      <c r="C916" s="18">
        <f t="shared" si="44"/>
        <v>14.7</v>
      </c>
      <c r="D916" s="18">
        <f t="shared" si="45"/>
        <v>21.858905578182195</v>
      </c>
      <c r="E916" s="18">
        <f t="shared" si="46"/>
        <v>36.358369088003315</v>
      </c>
    </row>
    <row r="917" spans="2:5" x14ac:dyDescent="0.3">
      <c r="B917" s="457">
        <v>883</v>
      </c>
      <c r="C917" s="18">
        <f t="shared" si="44"/>
        <v>14.716666666666667</v>
      </c>
      <c r="D917" s="18">
        <f t="shared" si="45"/>
        <v>21.858905585154819</v>
      </c>
      <c r="E917" s="18">
        <f t="shared" si="46"/>
        <v>36.358369149362417</v>
      </c>
    </row>
    <row r="918" spans="2:5" x14ac:dyDescent="0.3">
      <c r="B918" s="457">
        <v>884</v>
      </c>
      <c r="C918" s="18">
        <f t="shared" si="44"/>
        <v>14.733333333333333</v>
      </c>
      <c r="D918" s="18">
        <f t="shared" si="45"/>
        <v>21.858905592007218</v>
      </c>
      <c r="E918" s="18">
        <f t="shared" si="46"/>
        <v>36.358369209663515</v>
      </c>
    </row>
    <row r="919" spans="2:5" x14ac:dyDescent="0.3">
      <c r="B919" s="457">
        <v>885</v>
      </c>
      <c r="C919" s="18">
        <f t="shared" si="44"/>
        <v>14.75</v>
      </c>
      <c r="D919" s="18">
        <f t="shared" si="45"/>
        <v>21.858905598741458</v>
      </c>
      <c r="E919" s="18">
        <f t="shared" si="46"/>
        <v>36.358369268924839</v>
      </c>
    </row>
    <row r="920" spans="2:5" x14ac:dyDescent="0.3">
      <c r="B920" s="457">
        <v>886</v>
      </c>
      <c r="C920" s="18">
        <f t="shared" si="44"/>
        <v>14.766666666666667</v>
      </c>
      <c r="D920" s="18">
        <f t="shared" si="45"/>
        <v>21.858905605359581</v>
      </c>
      <c r="E920" s="18">
        <f t="shared" si="46"/>
        <v>36.358369327164326</v>
      </c>
    </row>
    <row r="921" spans="2:5" x14ac:dyDescent="0.3">
      <c r="B921" s="457">
        <v>887</v>
      </c>
      <c r="C921" s="18">
        <f t="shared" si="44"/>
        <v>14.783333333333333</v>
      </c>
      <c r="D921" s="18">
        <f t="shared" si="45"/>
        <v>21.858905611863591</v>
      </c>
      <c r="E921" s="18">
        <f t="shared" si="46"/>
        <v>36.358369384399595</v>
      </c>
    </row>
    <row r="922" spans="2:5" x14ac:dyDescent="0.3">
      <c r="B922" s="457">
        <v>888</v>
      </c>
      <c r="C922" s="18">
        <f t="shared" si="44"/>
        <v>14.8</v>
      </c>
      <c r="D922" s="18">
        <f t="shared" si="45"/>
        <v>21.858905618255449</v>
      </c>
      <c r="E922" s="18">
        <f t="shared" si="46"/>
        <v>36.358369440647955</v>
      </c>
    </row>
    <row r="923" spans="2:5" x14ac:dyDescent="0.3">
      <c r="B923" s="457">
        <v>889</v>
      </c>
      <c r="C923" s="18">
        <f t="shared" si="44"/>
        <v>14.816666666666666</v>
      </c>
      <c r="D923" s="18">
        <f t="shared" si="45"/>
        <v>21.858905624537094</v>
      </c>
      <c r="E923" s="18">
        <f t="shared" si="46"/>
        <v>36.358369495926432</v>
      </c>
    </row>
    <row r="924" spans="2:5" x14ac:dyDescent="0.3">
      <c r="B924" s="457">
        <v>890</v>
      </c>
      <c r="C924" s="18">
        <f t="shared" si="44"/>
        <v>14.833333333333334</v>
      </c>
      <c r="D924" s="18">
        <f t="shared" si="45"/>
        <v>21.858905630710424</v>
      </c>
      <c r="E924" s="18">
        <f t="shared" si="46"/>
        <v>36.358369550251744</v>
      </c>
    </row>
    <row r="925" spans="2:5" x14ac:dyDescent="0.3">
      <c r="B925" s="457">
        <v>891</v>
      </c>
      <c r="C925" s="18">
        <f t="shared" si="44"/>
        <v>14.85</v>
      </c>
      <c r="D925" s="18">
        <f t="shared" si="45"/>
        <v>21.858905636777312</v>
      </c>
      <c r="E925" s="18">
        <f t="shared" si="46"/>
        <v>36.358369603640327</v>
      </c>
    </row>
    <row r="926" spans="2:5" x14ac:dyDescent="0.3">
      <c r="B926" s="457">
        <v>892</v>
      </c>
      <c r="C926" s="18">
        <f t="shared" si="44"/>
        <v>14.866666666666667</v>
      </c>
      <c r="D926" s="18">
        <f t="shared" si="45"/>
        <v>21.858905642739582</v>
      </c>
      <c r="E926" s="18">
        <f t="shared" si="46"/>
        <v>36.358369656108337</v>
      </c>
    </row>
    <row r="927" spans="2:5" x14ac:dyDescent="0.3">
      <c r="B927" s="457">
        <v>893</v>
      </c>
      <c r="C927" s="18">
        <f t="shared" si="44"/>
        <v>14.883333333333333</v>
      </c>
      <c r="D927" s="18">
        <f t="shared" si="45"/>
        <v>21.858905648599052</v>
      </c>
      <c r="E927" s="18">
        <f t="shared" si="46"/>
        <v>36.358369707671649</v>
      </c>
    </row>
    <row r="928" spans="2:5" x14ac:dyDescent="0.3">
      <c r="B928" s="457">
        <v>894</v>
      </c>
      <c r="C928" s="18">
        <f t="shared" si="44"/>
        <v>14.9</v>
      </c>
      <c r="D928" s="18">
        <f t="shared" si="45"/>
        <v>21.858905654357482</v>
      </c>
      <c r="E928" s="18">
        <f t="shared" si="46"/>
        <v>36.358369758345859</v>
      </c>
    </row>
    <row r="929" spans="2:5" x14ac:dyDescent="0.3">
      <c r="B929" s="457">
        <v>895</v>
      </c>
      <c r="C929" s="18">
        <f t="shared" si="44"/>
        <v>14.916666666666666</v>
      </c>
      <c r="D929" s="18">
        <f t="shared" si="45"/>
        <v>21.858905660016624</v>
      </c>
      <c r="E929" s="18">
        <f t="shared" si="46"/>
        <v>36.358369808146293</v>
      </c>
    </row>
    <row r="930" spans="2:5" x14ac:dyDescent="0.3">
      <c r="B930" s="457">
        <v>896</v>
      </c>
      <c r="C930" s="18">
        <f t="shared" si="44"/>
        <v>14.933333333333334</v>
      </c>
      <c r="D930" s="18">
        <f t="shared" si="45"/>
        <v>21.858905665578185</v>
      </c>
      <c r="E930" s="18">
        <f t="shared" si="46"/>
        <v>36.358369857088022</v>
      </c>
    </row>
    <row r="931" spans="2:5" x14ac:dyDescent="0.3">
      <c r="B931" s="457">
        <v>897</v>
      </c>
      <c r="C931" s="18">
        <f t="shared" si="44"/>
        <v>14.95</v>
      </c>
      <c r="D931" s="18">
        <f t="shared" si="45"/>
        <v>21.858905671043846</v>
      </c>
      <c r="E931" s="18">
        <f t="shared" si="46"/>
        <v>36.358369905185846</v>
      </c>
    </row>
    <row r="932" spans="2:5" x14ac:dyDescent="0.3">
      <c r="B932" s="457">
        <v>898</v>
      </c>
      <c r="C932" s="18">
        <f t="shared" ref="C932:C995" si="47">B932/60</f>
        <v>14.966666666666667</v>
      </c>
      <c r="D932" s="18">
        <f t="shared" ref="D932:D995" si="48">$I$32+$G$27/$A$32/$D$32*(1-EXP(-B932/($G$32*$H$32/$A$32/$D$32)))</f>
        <v>21.858905676415265</v>
      </c>
      <c r="E932" s="18">
        <f t="shared" ref="E932:E995" si="49">$I$32+$G$27/$A$32/$E$32*(1-EXP(-B932/($G$32*$H$32/$A$32/$D$32)))</f>
        <v>36.358369952454325</v>
      </c>
    </row>
    <row r="933" spans="2:5" x14ac:dyDescent="0.3">
      <c r="B933" s="457">
        <v>899</v>
      </c>
      <c r="C933" s="18">
        <f t="shared" si="47"/>
        <v>14.983333333333333</v>
      </c>
      <c r="D933" s="18">
        <f t="shared" si="48"/>
        <v>21.858905681694065</v>
      </c>
      <c r="E933" s="18">
        <f t="shared" si="49"/>
        <v>36.358369998907762</v>
      </c>
    </row>
    <row r="934" spans="2:5" x14ac:dyDescent="0.3">
      <c r="B934" s="457">
        <v>900</v>
      </c>
      <c r="C934" s="18">
        <f t="shared" si="47"/>
        <v>15</v>
      </c>
      <c r="D934" s="18">
        <f t="shared" si="48"/>
        <v>21.85890568688184</v>
      </c>
      <c r="E934" s="18">
        <f t="shared" si="49"/>
        <v>36.358370044560203</v>
      </c>
    </row>
    <row r="935" spans="2:5" x14ac:dyDescent="0.3">
      <c r="B935" s="457">
        <v>901</v>
      </c>
      <c r="C935" s="18">
        <f t="shared" si="47"/>
        <v>15.016666666666667</v>
      </c>
      <c r="D935" s="18">
        <f t="shared" si="48"/>
        <v>21.858905691980166</v>
      </c>
      <c r="E935" s="18">
        <f t="shared" si="49"/>
        <v>36.358370089425463</v>
      </c>
    </row>
    <row r="936" spans="2:5" x14ac:dyDescent="0.3">
      <c r="B936" s="457">
        <v>902</v>
      </c>
      <c r="C936" s="18">
        <f t="shared" si="47"/>
        <v>15.033333333333333</v>
      </c>
      <c r="D936" s="18">
        <f t="shared" si="48"/>
        <v>21.858905696990583</v>
      </c>
      <c r="E936" s="18">
        <f t="shared" si="49"/>
        <v>36.358370133517113</v>
      </c>
    </row>
    <row r="937" spans="2:5" x14ac:dyDescent="0.3">
      <c r="B937" s="457">
        <v>903</v>
      </c>
      <c r="C937" s="18">
        <f t="shared" si="47"/>
        <v>15.05</v>
      </c>
      <c r="D937" s="18">
        <f t="shared" si="48"/>
        <v>21.858905701914601</v>
      </c>
      <c r="E937" s="18">
        <f t="shared" si="49"/>
        <v>36.358370176848496</v>
      </c>
    </row>
    <row r="938" spans="2:5" x14ac:dyDescent="0.3">
      <c r="B938" s="457">
        <v>904</v>
      </c>
      <c r="C938" s="18">
        <f t="shared" si="47"/>
        <v>15.066666666666666</v>
      </c>
      <c r="D938" s="18">
        <f t="shared" si="48"/>
        <v>21.858905706753717</v>
      </c>
      <c r="E938" s="18">
        <f t="shared" si="49"/>
        <v>36.358370219432722</v>
      </c>
    </row>
    <row r="939" spans="2:5" x14ac:dyDescent="0.3">
      <c r="B939" s="457">
        <v>905</v>
      </c>
      <c r="C939" s="18">
        <f t="shared" si="47"/>
        <v>15.083333333333334</v>
      </c>
      <c r="D939" s="18">
        <f t="shared" si="48"/>
        <v>21.858905711509394</v>
      </c>
      <c r="E939" s="18">
        <f t="shared" si="49"/>
        <v>36.358370261282666</v>
      </c>
    </row>
    <row r="940" spans="2:5" x14ac:dyDescent="0.3">
      <c r="B940" s="457">
        <v>906</v>
      </c>
      <c r="C940" s="18">
        <f t="shared" si="47"/>
        <v>15.1</v>
      </c>
      <c r="D940" s="18">
        <f t="shared" si="48"/>
        <v>21.858905716183067</v>
      </c>
      <c r="E940" s="18">
        <f t="shared" si="49"/>
        <v>36.358370302410989</v>
      </c>
    </row>
    <row r="941" spans="2:5" x14ac:dyDescent="0.3">
      <c r="B941" s="457">
        <v>907</v>
      </c>
      <c r="C941" s="18">
        <f t="shared" si="47"/>
        <v>15.116666666666667</v>
      </c>
      <c r="D941" s="18">
        <f t="shared" si="48"/>
        <v>21.858905720776153</v>
      </c>
      <c r="E941" s="18">
        <f t="shared" si="49"/>
        <v>36.358370342830156</v>
      </c>
    </row>
    <row r="942" spans="2:5" x14ac:dyDescent="0.3">
      <c r="B942" s="457">
        <v>908</v>
      </c>
      <c r="C942" s="18">
        <f t="shared" si="47"/>
        <v>15.133333333333333</v>
      </c>
      <c r="D942" s="18">
        <f t="shared" si="48"/>
        <v>21.85890572529004</v>
      </c>
      <c r="E942" s="18">
        <f t="shared" si="49"/>
        <v>36.358370382552366</v>
      </c>
    </row>
    <row r="943" spans="2:5" x14ac:dyDescent="0.3">
      <c r="B943" s="457">
        <v>909</v>
      </c>
      <c r="C943" s="18">
        <f t="shared" si="47"/>
        <v>15.15</v>
      </c>
      <c r="D943" s="18">
        <f t="shared" si="48"/>
        <v>21.858905729726096</v>
      </c>
      <c r="E943" s="18">
        <f t="shared" si="49"/>
        <v>36.358370421589647</v>
      </c>
    </row>
    <row r="944" spans="2:5" x14ac:dyDescent="0.3">
      <c r="B944" s="457">
        <v>910</v>
      </c>
      <c r="C944" s="18">
        <f t="shared" si="47"/>
        <v>15.166666666666666</v>
      </c>
      <c r="D944" s="18">
        <f t="shared" si="48"/>
        <v>21.85890573408566</v>
      </c>
      <c r="E944" s="18">
        <f t="shared" si="49"/>
        <v>36.358370459953818</v>
      </c>
    </row>
    <row r="945" spans="2:5" x14ac:dyDescent="0.3">
      <c r="B945" s="457">
        <v>911</v>
      </c>
      <c r="C945" s="18">
        <f t="shared" si="47"/>
        <v>15.183333333333334</v>
      </c>
      <c r="D945" s="18">
        <f t="shared" si="48"/>
        <v>21.858905738370055</v>
      </c>
      <c r="E945" s="18">
        <f t="shared" si="49"/>
        <v>36.358370497656473</v>
      </c>
    </row>
    <row r="946" spans="2:5" x14ac:dyDescent="0.3">
      <c r="B946" s="457">
        <v>912</v>
      </c>
      <c r="C946" s="18">
        <f t="shared" si="47"/>
        <v>15.2</v>
      </c>
      <c r="D946" s="18">
        <f t="shared" si="48"/>
        <v>21.858905742580571</v>
      </c>
      <c r="E946" s="18">
        <f t="shared" si="49"/>
        <v>36.358370534709024</v>
      </c>
    </row>
    <row r="947" spans="2:5" x14ac:dyDescent="0.3">
      <c r="B947" s="457">
        <v>913</v>
      </c>
      <c r="C947" s="18">
        <f t="shared" si="47"/>
        <v>15.216666666666667</v>
      </c>
      <c r="D947" s="18">
        <f t="shared" si="48"/>
        <v>21.858905746718484</v>
      </c>
      <c r="E947" s="18">
        <f t="shared" si="49"/>
        <v>36.358370571122677</v>
      </c>
    </row>
    <row r="948" spans="2:5" x14ac:dyDescent="0.3">
      <c r="B948" s="457">
        <v>914</v>
      </c>
      <c r="C948" s="18">
        <f t="shared" si="47"/>
        <v>15.233333333333333</v>
      </c>
      <c r="D948" s="18">
        <f t="shared" si="48"/>
        <v>21.858905750785052</v>
      </c>
      <c r="E948" s="18">
        <f t="shared" si="49"/>
        <v>36.358370606908466</v>
      </c>
    </row>
    <row r="949" spans="2:5" x14ac:dyDescent="0.3">
      <c r="B949" s="457">
        <v>915</v>
      </c>
      <c r="C949" s="18">
        <f t="shared" si="47"/>
        <v>15.25</v>
      </c>
      <c r="D949" s="18">
        <f t="shared" si="48"/>
        <v>21.8589057547815</v>
      </c>
      <c r="E949" s="18">
        <f t="shared" si="49"/>
        <v>36.35837064207719</v>
      </c>
    </row>
    <row r="950" spans="2:5" x14ac:dyDescent="0.3">
      <c r="B950" s="457">
        <v>916</v>
      </c>
      <c r="C950" s="18">
        <f t="shared" si="47"/>
        <v>15.266666666666667</v>
      </c>
      <c r="D950" s="18">
        <f t="shared" si="48"/>
        <v>21.858905758709035</v>
      </c>
      <c r="E950" s="18">
        <f t="shared" si="49"/>
        <v>36.35837067663951</v>
      </c>
    </row>
    <row r="951" spans="2:5" x14ac:dyDescent="0.3">
      <c r="B951" s="457">
        <v>917</v>
      </c>
      <c r="C951" s="18">
        <f t="shared" si="47"/>
        <v>15.283333333333333</v>
      </c>
      <c r="D951" s="18">
        <f t="shared" si="48"/>
        <v>21.858905762568849</v>
      </c>
      <c r="E951" s="18">
        <f t="shared" si="49"/>
        <v>36.358370710605868</v>
      </c>
    </row>
    <row r="952" spans="2:5" x14ac:dyDescent="0.3">
      <c r="B952" s="457">
        <v>918</v>
      </c>
      <c r="C952" s="18">
        <f t="shared" si="47"/>
        <v>15.3</v>
      </c>
      <c r="D952" s="18">
        <f t="shared" si="48"/>
        <v>21.858905766362106</v>
      </c>
      <c r="E952" s="18">
        <f t="shared" si="49"/>
        <v>36.358370743986541</v>
      </c>
    </row>
    <row r="953" spans="2:5" x14ac:dyDescent="0.3">
      <c r="B953" s="457">
        <v>919</v>
      </c>
      <c r="C953" s="18">
        <f t="shared" si="47"/>
        <v>15.316666666666666</v>
      </c>
      <c r="D953" s="18">
        <f t="shared" si="48"/>
        <v>21.858905770089958</v>
      </c>
      <c r="E953" s="18">
        <f t="shared" si="49"/>
        <v>36.358370776791645</v>
      </c>
    </row>
    <row r="954" spans="2:5" x14ac:dyDescent="0.3">
      <c r="B954" s="457">
        <v>920</v>
      </c>
      <c r="C954" s="18">
        <f t="shared" si="47"/>
        <v>15.333333333333334</v>
      </c>
      <c r="D954" s="18">
        <f t="shared" si="48"/>
        <v>21.858905773753534</v>
      </c>
      <c r="E954" s="18">
        <f t="shared" si="49"/>
        <v>36.358370809031086</v>
      </c>
    </row>
    <row r="955" spans="2:5" x14ac:dyDescent="0.3">
      <c r="B955" s="457">
        <v>921</v>
      </c>
      <c r="C955" s="18">
        <f t="shared" si="47"/>
        <v>15.35</v>
      </c>
      <c r="D955" s="18">
        <f t="shared" si="48"/>
        <v>21.858905777353936</v>
      </c>
      <c r="E955" s="18">
        <f t="shared" si="49"/>
        <v>36.358370840714628</v>
      </c>
    </row>
    <row r="956" spans="2:5" x14ac:dyDescent="0.3">
      <c r="B956" s="457">
        <v>922</v>
      </c>
      <c r="C956" s="18">
        <f t="shared" si="47"/>
        <v>15.366666666666667</v>
      </c>
      <c r="D956" s="18">
        <f t="shared" si="48"/>
        <v>21.858905780892258</v>
      </c>
      <c r="E956" s="18">
        <f t="shared" si="49"/>
        <v>36.358370871851861</v>
      </c>
    </row>
    <row r="957" spans="2:5" x14ac:dyDescent="0.3">
      <c r="B957" s="457">
        <v>923</v>
      </c>
      <c r="C957" s="18">
        <f t="shared" si="47"/>
        <v>15.383333333333333</v>
      </c>
      <c r="D957" s="18">
        <f t="shared" si="48"/>
        <v>21.858905784369565</v>
      </c>
      <c r="E957" s="18">
        <f t="shared" si="49"/>
        <v>36.35837090245218</v>
      </c>
    </row>
    <row r="958" spans="2:5" x14ac:dyDescent="0.3">
      <c r="B958" s="457">
        <v>924</v>
      </c>
      <c r="C958" s="18">
        <f t="shared" si="47"/>
        <v>15.4</v>
      </c>
      <c r="D958" s="18">
        <f t="shared" si="48"/>
        <v>21.858905787786917</v>
      </c>
      <c r="E958" s="18">
        <f t="shared" si="49"/>
        <v>36.358370932524871</v>
      </c>
    </row>
    <row r="959" spans="2:5" x14ac:dyDescent="0.3">
      <c r="B959" s="457">
        <v>925</v>
      </c>
      <c r="C959" s="18">
        <f t="shared" si="47"/>
        <v>15.416666666666666</v>
      </c>
      <c r="D959" s="18">
        <f t="shared" si="48"/>
        <v>21.858905791145343</v>
      </c>
      <c r="E959" s="18">
        <f t="shared" si="49"/>
        <v>36.358370962079022</v>
      </c>
    </row>
    <row r="960" spans="2:5" x14ac:dyDescent="0.3">
      <c r="B960" s="457">
        <v>926</v>
      </c>
      <c r="C960" s="18">
        <f t="shared" si="47"/>
        <v>15.433333333333334</v>
      </c>
      <c r="D960" s="18">
        <f t="shared" si="48"/>
        <v>21.85890579444586</v>
      </c>
      <c r="E960" s="18">
        <f t="shared" si="49"/>
        <v>36.358370991123564</v>
      </c>
    </row>
    <row r="961" spans="2:5" x14ac:dyDescent="0.3">
      <c r="B961" s="457">
        <v>927</v>
      </c>
      <c r="C961" s="18">
        <f t="shared" si="47"/>
        <v>15.45</v>
      </c>
      <c r="D961" s="18">
        <f t="shared" si="48"/>
        <v>21.858905797689467</v>
      </c>
      <c r="E961" s="18">
        <f t="shared" si="49"/>
        <v>36.358371019667302</v>
      </c>
    </row>
    <row r="962" spans="2:5" x14ac:dyDescent="0.3">
      <c r="B962" s="457">
        <v>928</v>
      </c>
      <c r="C962" s="18">
        <f t="shared" si="47"/>
        <v>15.466666666666667</v>
      </c>
      <c r="D962" s="18">
        <f t="shared" si="48"/>
        <v>21.858905800877142</v>
      </c>
      <c r="E962" s="18">
        <f t="shared" si="49"/>
        <v>36.358371047718855</v>
      </c>
    </row>
    <row r="963" spans="2:5" x14ac:dyDescent="0.3">
      <c r="B963" s="457">
        <v>929</v>
      </c>
      <c r="C963" s="18">
        <f t="shared" si="47"/>
        <v>15.483333333333333</v>
      </c>
      <c r="D963" s="18">
        <f t="shared" si="48"/>
        <v>21.858905804009854</v>
      </c>
      <c r="E963" s="18">
        <f t="shared" si="49"/>
        <v>36.358371075286719</v>
      </c>
    </row>
    <row r="964" spans="2:5" x14ac:dyDescent="0.3">
      <c r="B964" s="457">
        <v>930</v>
      </c>
      <c r="C964" s="18">
        <f t="shared" si="47"/>
        <v>15.5</v>
      </c>
      <c r="D964" s="18">
        <f t="shared" si="48"/>
        <v>21.858905807088551</v>
      </c>
      <c r="E964" s="18">
        <f t="shared" si="49"/>
        <v>36.358371102379238</v>
      </c>
    </row>
    <row r="965" spans="2:5" x14ac:dyDescent="0.3">
      <c r="B965" s="457">
        <v>931</v>
      </c>
      <c r="C965" s="18">
        <f t="shared" si="47"/>
        <v>15.516666666666667</v>
      </c>
      <c r="D965" s="18">
        <f t="shared" si="48"/>
        <v>21.858905810114159</v>
      </c>
      <c r="E965" s="18">
        <f t="shared" si="49"/>
        <v>36.358371129004595</v>
      </c>
    </row>
    <row r="966" spans="2:5" x14ac:dyDescent="0.3">
      <c r="B966" s="457">
        <v>932</v>
      </c>
      <c r="C966" s="18">
        <f t="shared" si="47"/>
        <v>15.533333333333333</v>
      </c>
      <c r="D966" s="18">
        <f t="shared" si="48"/>
        <v>21.858905813087596</v>
      </c>
      <c r="E966" s="18">
        <f t="shared" si="49"/>
        <v>36.358371155170857</v>
      </c>
    </row>
    <row r="967" spans="2:5" x14ac:dyDescent="0.3">
      <c r="B967" s="457">
        <v>933</v>
      </c>
      <c r="C967" s="18">
        <f t="shared" si="47"/>
        <v>15.55</v>
      </c>
      <c r="D967" s="18">
        <f t="shared" si="48"/>
        <v>21.858905816009766</v>
      </c>
      <c r="E967" s="18">
        <f t="shared" si="49"/>
        <v>36.358371180885932</v>
      </c>
    </row>
    <row r="968" spans="2:5" x14ac:dyDescent="0.3">
      <c r="B968" s="457">
        <v>934</v>
      </c>
      <c r="C968" s="18">
        <f t="shared" si="47"/>
        <v>15.566666666666666</v>
      </c>
      <c r="D968" s="18">
        <f t="shared" si="48"/>
        <v>21.858905818881546</v>
      </c>
      <c r="E968" s="18">
        <f t="shared" si="49"/>
        <v>36.358371206157607</v>
      </c>
    </row>
    <row r="969" spans="2:5" x14ac:dyDescent="0.3">
      <c r="B969" s="457">
        <v>935</v>
      </c>
      <c r="C969" s="18">
        <f t="shared" si="47"/>
        <v>15.583333333333334</v>
      </c>
      <c r="D969" s="18">
        <f t="shared" si="48"/>
        <v>21.858905821703811</v>
      </c>
      <c r="E969" s="18">
        <f t="shared" si="49"/>
        <v>36.358371230993527</v>
      </c>
    </row>
    <row r="970" spans="2:5" x14ac:dyDescent="0.3">
      <c r="B970" s="457">
        <v>936</v>
      </c>
      <c r="C970" s="18">
        <f t="shared" si="47"/>
        <v>15.6</v>
      </c>
      <c r="D970" s="18">
        <f t="shared" si="48"/>
        <v>21.858905824477407</v>
      </c>
      <c r="E970" s="18">
        <f t="shared" si="49"/>
        <v>36.358371255401195</v>
      </c>
    </row>
    <row r="971" spans="2:5" x14ac:dyDescent="0.3">
      <c r="B971" s="457">
        <v>937</v>
      </c>
      <c r="C971" s="18">
        <f t="shared" si="47"/>
        <v>15.616666666666667</v>
      </c>
      <c r="D971" s="18">
        <f t="shared" si="48"/>
        <v>21.858905827203184</v>
      </c>
      <c r="E971" s="18">
        <f t="shared" si="49"/>
        <v>36.35837127938801</v>
      </c>
    </row>
    <row r="972" spans="2:5" x14ac:dyDescent="0.3">
      <c r="B972" s="457">
        <v>938</v>
      </c>
      <c r="C972" s="18">
        <f t="shared" si="47"/>
        <v>15.633333333333333</v>
      </c>
      <c r="D972" s="18">
        <f t="shared" si="48"/>
        <v>21.858905829881955</v>
      </c>
      <c r="E972" s="18">
        <f t="shared" si="49"/>
        <v>36.358371302961217</v>
      </c>
    </row>
    <row r="973" spans="2:5" x14ac:dyDescent="0.3">
      <c r="B973" s="457">
        <v>939</v>
      </c>
      <c r="C973" s="18">
        <f t="shared" si="47"/>
        <v>15.65</v>
      </c>
      <c r="D973" s="18">
        <f t="shared" si="48"/>
        <v>21.858905832514541</v>
      </c>
      <c r="E973" s="18">
        <f t="shared" si="49"/>
        <v>36.358371326127958</v>
      </c>
    </row>
    <row r="974" spans="2:5" x14ac:dyDescent="0.3">
      <c r="B974" s="457">
        <v>940</v>
      </c>
      <c r="C974" s="18">
        <f t="shared" si="47"/>
        <v>15.666666666666666</v>
      </c>
      <c r="D974" s="18">
        <f t="shared" si="48"/>
        <v>21.85890583510173</v>
      </c>
      <c r="E974" s="18">
        <f t="shared" si="49"/>
        <v>36.358371348895233</v>
      </c>
    </row>
    <row r="975" spans="2:5" x14ac:dyDescent="0.3">
      <c r="B975" s="457">
        <v>941</v>
      </c>
      <c r="C975" s="18">
        <f t="shared" si="47"/>
        <v>15.683333333333334</v>
      </c>
      <c r="D975" s="18">
        <f t="shared" si="48"/>
        <v>21.858905837644311</v>
      </c>
      <c r="E975" s="18">
        <f t="shared" si="49"/>
        <v>36.358371371269939</v>
      </c>
    </row>
    <row r="976" spans="2:5" x14ac:dyDescent="0.3">
      <c r="B976" s="457">
        <v>942</v>
      </c>
      <c r="C976" s="18">
        <f t="shared" si="47"/>
        <v>15.7</v>
      </c>
      <c r="D976" s="18">
        <f t="shared" si="48"/>
        <v>21.858905840143048</v>
      </c>
      <c r="E976" s="18">
        <f t="shared" si="49"/>
        <v>36.358371393258835</v>
      </c>
    </row>
    <row r="977" spans="2:5" x14ac:dyDescent="0.3">
      <c r="B977" s="457">
        <v>943</v>
      </c>
      <c r="C977" s="18">
        <f t="shared" si="47"/>
        <v>15.716666666666667</v>
      </c>
      <c r="D977" s="18">
        <f t="shared" si="48"/>
        <v>21.858905842598702</v>
      </c>
      <c r="E977" s="18">
        <f t="shared" si="49"/>
        <v>36.358371414868571</v>
      </c>
    </row>
    <row r="978" spans="2:5" x14ac:dyDescent="0.3">
      <c r="B978" s="457">
        <v>944</v>
      </c>
      <c r="C978" s="18">
        <f t="shared" si="47"/>
        <v>15.733333333333333</v>
      </c>
      <c r="D978" s="18">
        <f t="shared" si="48"/>
        <v>21.858905845012011</v>
      </c>
      <c r="E978" s="18">
        <f t="shared" si="49"/>
        <v>36.358371436105699</v>
      </c>
    </row>
    <row r="979" spans="2:5" x14ac:dyDescent="0.3">
      <c r="B979" s="457">
        <v>945</v>
      </c>
      <c r="C979" s="18">
        <f t="shared" si="47"/>
        <v>15.75</v>
      </c>
      <c r="D979" s="18">
        <f t="shared" si="48"/>
        <v>21.85890584738371</v>
      </c>
      <c r="E979" s="18">
        <f t="shared" si="49"/>
        <v>36.358371456976641</v>
      </c>
    </row>
    <row r="980" spans="2:5" x14ac:dyDescent="0.3">
      <c r="B980" s="457">
        <v>946</v>
      </c>
      <c r="C980" s="18">
        <f t="shared" si="47"/>
        <v>15.766666666666667</v>
      </c>
      <c r="D980" s="18">
        <f t="shared" si="48"/>
        <v>21.85890584971451</v>
      </c>
      <c r="E980" s="18">
        <f t="shared" si="49"/>
        <v>36.358371477487701</v>
      </c>
    </row>
    <row r="981" spans="2:5" x14ac:dyDescent="0.3">
      <c r="B981" s="457">
        <v>947</v>
      </c>
      <c r="C981" s="18">
        <f t="shared" si="47"/>
        <v>15.783333333333333</v>
      </c>
      <c r="D981" s="18">
        <f t="shared" si="48"/>
        <v>21.858905852005122</v>
      </c>
      <c r="E981" s="18">
        <f t="shared" si="49"/>
        <v>36.358371497645095</v>
      </c>
    </row>
    <row r="982" spans="2:5" x14ac:dyDescent="0.3">
      <c r="B982" s="457">
        <v>948</v>
      </c>
      <c r="C982" s="18">
        <f t="shared" si="47"/>
        <v>15.8</v>
      </c>
      <c r="D982" s="18">
        <f t="shared" si="48"/>
        <v>21.858905854256239</v>
      </c>
      <c r="E982" s="18">
        <f t="shared" si="49"/>
        <v>36.358371517454913</v>
      </c>
    </row>
    <row r="983" spans="2:5" x14ac:dyDescent="0.3">
      <c r="B983" s="457">
        <v>949</v>
      </c>
      <c r="C983" s="18">
        <f t="shared" si="47"/>
        <v>15.816666666666666</v>
      </c>
      <c r="D983" s="18">
        <f t="shared" si="48"/>
        <v>21.858905856468539</v>
      </c>
      <c r="E983" s="18">
        <f t="shared" si="49"/>
        <v>36.358371536923144</v>
      </c>
    </row>
    <row r="984" spans="2:5" x14ac:dyDescent="0.3">
      <c r="B984" s="457">
        <v>950</v>
      </c>
      <c r="C984" s="18">
        <f t="shared" si="47"/>
        <v>15.833333333333334</v>
      </c>
      <c r="D984" s="18">
        <f t="shared" si="48"/>
        <v>21.858905858642693</v>
      </c>
      <c r="E984" s="18">
        <f t="shared" si="49"/>
        <v>36.358371556055701</v>
      </c>
    </row>
    <row r="985" spans="2:5" x14ac:dyDescent="0.3">
      <c r="B985" s="457">
        <v>951</v>
      </c>
      <c r="C985" s="18">
        <f t="shared" si="47"/>
        <v>15.85</v>
      </c>
      <c r="D985" s="18">
        <f t="shared" si="48"/>
        <v>21.858905860779359</v>
      </c>
      <c r="E985" s="18">
        <f t="shared" si="49"/>
        <v>36.358371574858346</v>
      </c>
    </row>
    <row r="986" spans="2:5" x14ac:dyDescent="0.3">
      <c r="B986" s="457">
        <v>952</v>
      </c>
      <c r="C986" s="18">
        <f t="shared" si="47"/>
        <v>15.866666666666667</v>
      </c>
      <c r="D986" s="18">
        <f t="shared" si="48"/>
        <v>21.85890586287918</v>
      </c>
      <c r="E986" s="18">
        <f t="shared" si="49"/>
        <v>36.358371593336784</v>
      </c>
    </row>
    <row r="987" spans="2:5" x14ac:dyDescent="0.3">
      <c r="B987" s="457">
        <v>953</v>
      </c>
      <c r="C987" s="18">
        <f t="shared" si="47"/>
        <v>15.883333333333333</v>
      </c>
      <c r="D987" s="18">
        <f t="shared" si="48"/>
        <v>21.858905864942795</v>
      </c>
      <c r="E987" s="18">
        <f t="shared" si="49"/>
        <v>36.358371611496594</v>
      </c>
    </row>
    <row r="988" spans="2:5" x14ac:dyDescent="0.3">
      <c r="B988" s="457">
        <v>954</v>
      </c>
      <c r="C988" s="18">
        <f t="shared" si="47"/>
        <v>15.9</v>
      </c>
      <c r="D988" s="18">
        <f t="shared" si="48"/>
        <v>21.858905866970826</v>
      </c>
      <c r="E988" s="18">
        <f t="shared" si="49"/>
        <v>36.358371629343281</v>
      </c>
    </row>
    <row r="989" spans="2:5" x14ac:dyDescent="0.3">
      <c r="B989" s="457">
        <v>955</v>
      </c>
      <c r="C989" s="18">
        <f t="shared" si="47"/>
        <v>15.916666666666666</v>
      </c>
      <c r="D989" s="18">
        <f t="shared" si="48"/>
        <v>21.858905868963891</v>
      </c>
      <c r="E989" s="18">
        <f t="shared" si="49"/>
        <v>36.358371646882233</v>
      </c>
    </row>
    <row r="990" spans="2:5" x14ac:dyDescent="0.3">
      <c r="B990" s="457">
        <v>956</v>
      </c>
      <c r="C990" s="18">
        <f t="shared" si="47"/>
        <v>15.933333333333334</v>
      </c>
      <c r="D990" s="18">
        <f t="shared" si="48"/>
        <v>21.858905870922587</v>
      </c>
      <c r="E990" s="18">
        <f t="shared" si="49"/>
        <v>36.358371664118771</v>
      </c>
    </row>
    <row r="991" spans="2:5" x14ac:dyDescent="0.3">
      <c r="B991" s="457">
        <v>957</v>
      </c>
      <c r="C991" s="18">
        <f t="shared" si="47"/>
        <v>15.95</v>
      </c>
      <c r="D991" s="18">
        <f t="shared" si="48"/>
        <v>21.858905872847512</v>
      </c>
      <c r="E991" s="18">
        <f t="shared" si="49"/>
        <v>36.358371681058088</v>
      </c>
    </row>
    <row r="992" spans="2:5" x14ac:dyDescent="0.3">
      <c r="B992" s="457">
        <v>958</v>
      </c>
      <c r="C992" s="18">
        <f t="shared" si="47"/>
        <v>15.966666666666667</v>
      </c>
      <c r="D992" s="18">
        <f t="shared" si="48"/>
        <v>21.858905874739243</v>
      </c>
      <c r="E992" s="18">
        <f t="shared" si="49"/>
        <v>36.358371697705337</v>
      </c>
    </row>
    <row r="993" spans="2:5" x14ac:dyDescent="0.3">
      <c r="B993" s="457">
        <v>959</v>
      </c>
      <c r="C993" s="18">
        <f t="shared" si="47"/>
        <v>15.983333333333333</v>
      </c>
      <c r="D993" s="18">
        <f t="shared" si="48"/>
        <v>21.858905876598357</v>
      </c>
      <c r="E993" s="18">
        <f t="shared" si="49"/>
        <v>36.358371714065527</v>
      </c>
    </row>
    <row r="994" spans="2:5" x14ac:dyDescent="0.3">
      <c r="B994" s="457">
        <v>960</v>
      </c>
      <c r="C994" s="18">
        <f t="shared" si="47"/>
        <v>16</v>
      </c>
      <c r="D994" s="18">
        <f t="shared" si="48"/>
        <v>21.858905878425411</v>
      </c>
      <c r="E994" s="18">
        <f t="shared" si="49"/>
        <v>36.358371730143617</v>
      </c>
    </row>
    <row r="995" spans="2:5" x14ac:dyDescent="0.3">
      <c r="B995" s="457">
        <v>961</v>
      </c>
      <c r="C995" s="18">
        <f t="shared" si="47"/>
        <v>16.016666666666666</v>
      </c>
      <c r="D995" s="18">
        <f t="shared" si="48"/>
        <v>21.858905880220963</v>
      </c>
      <c r="E995" s="18">
        <f t="shared" si="49"/>
        <v>36.358371745944481</v>
      </c>
    </row>
    <row r="996" spans="2:5" x14ac:dyDescent="0.3">
      <c r="B996" s="457">
        <v>962</v>
      </c>
      <c r="C996" s="18">
        <f t="shared" ref="C996:C1059" si="50">B996/60</f>
        <v>16.033333333333335</v>
      </c>
      <c r="D996" s="18">
        <f t="shared" ref="D996:D1059" si="51">$I$32+$G$27/$A$32/$D$32*(1-EXP(-B996/($G$32*$H$32/$A$32/$D$32)))</f>
        <v>21.858905881985557</v>
      </c>
      <c r="E996" s="18">
        <f t="shared" ref="E996:E1059" si="52">$I$32+$G$27/$A$32/$E$32*(1-EXP(-B996/($G$32*$H$32/$A$32/$D$32)))</f>
        <v>36.358371761472895</v>
      </c>
    </row>
    <row r="997" spans="2:5" x14ac:dyDescent="0.3">
      <c r="B997" s="457">
        <v>963</v>
      </c>
      <c r="C997" s="18">
        <f t="shared" si="50"/>
        <v>16.05</v>
      </c>
      <c r="D997" s="18">
        <f t="shared" si="51"/>
        <v>21.858905883719721</v>
      </c>
      <c r="E997" s="18">
        <f t="shared" si="52"/>
        <v>36.358371776733549</v>
      </c>
    </row>
    <row r="998" spans="2:5" x14ac:dyDescent="0.3">
      <c r="B998" s="457">
        <v>964</v>
      </c>
      <c r="C998" s="18">
        <f t="shared" si="50"/>
        <v>16.066666666666666</v>
      </c>
      <c r="D998" s="18">
        <f t="shared" si="51"/>
        <v>21.858905885423983</v>
      </c>
      <c r="E998" s="18">
        <f t="shared" si="52"/>
        <v>36.358371791731059</v>
      </c>
    </row>
    <row r="999" spans="2:5" x14ac:dyDescent="0.3">
      <c r="B999" s="457">
        <v>965</v>
      </c>
      <c r="C999" s="18">
        <f t="shared" si="50"/>
        <v>16.083333333333332</v>
      </c>
      <c r="D999" s="18">
        <f t="shared" si="51"/>
        <v>21.85890588709886</v>
      </c>
      <c r="E999" s="18">
        <f t="shared" si="52"/>
        <v>36.358371806469975</v>
      </c>
    </row>
    <row r="1000" spans="2:5" x14ac:dyDescent="0.3">
      <c r="B1000" s="457">
        <v>966</v>
      </c>
      <c r="C1000" s="18">
        <f t="shared" si="50"/>
        <v>16.100000000000001</v>
      </c>
      <c r="D1000" s="18">
        <f t="shared" si="51"/>
        <v>21.858905888744857</v>
      </c>
      <c r="E1000" s="18">
        <f t="shared" si="52"/>
        <v>36.358371820954744</v>
      </c>
    </row>
    <row r="1001" spans="2:5" x14ac:dyDescent="0.3">
      <c r="B1001" s="457">
        <v>967</v>
      </c>
      <c r="C1001" s="18">
        <f t="shared" si="50"/>
        <v>16.116666666666667</v>
      </c>
      <c r="D1001" s="18">
        <f t="shared" si="51"/>
        <v>21.858905890362472</v>
      </c>
      <c r="E1001" s="18">
        <f t="shared" si="52"/>
        <v>36.358371835189757</v>
      </c>
    </row>
    <row r="1002" spans="2:5" x14ac:dyDescent="0.3">
      <c r="B1002" s="457">
        <v>968</v>
      </c>
      <c r="C1002" s="18">
        <f t="shared" si="50"/>
        <v>16.133333333333333</v>
      </c>
      <c r="D1002" s="18">
        <f t="shared" si="51"/>
        <v>21.858905891952194</v>
      </c>
      <c r="E1002" s="18">
        <f t="shared" si="52"/>
        <v>36.358371849179321</v>
      </c>
    </row>
    <row r="1003" spans="2:5" x14ac:dyDescent="0.3">
      <c r="B1003" s="457">
        <v>969</v>
      </c>
      <c r="C1003" s="18">
        <f t="shared" si="50"/>
        <v>16.149999999999999</v>
      </c>
      <c r="D1003" s="18">
        <f t="shared" si="51"/>
        <v>21.858905893514507</v>
      </c>
      <c r="E1003" s="18">
        <f t="shared" si="52"/>
        <v>36.358371862927655</v>
      </c>
    </row>
    <row r="1004" spans="2:5" x14ac:dyDescent="0.3">
      <c r="B1004" s="457">
        <v>970</v>
      </c>
      <c r="C1004" s="18">
        <f t="shared" si="50"/>
        <v>16.166666666666668</v>
      </c>
      <c r="D1004" s="18">
        <f t="shared" si="51"/>
        <v>21.85890589504988</v>
      </c>
      <c r="E1004" s="18">
        <f t="shared" si="52"/>
        <v>36.358371876438937</v>
      </c>
    </row>
    <row r="1005" spans="2:5" x14ac:dyDescent="0.3">
      <c r="B1005" s="457">
        <v>971</v>
      </c>
      <c r="C1005" s="18">
        <f t="shared" si="50"/>
        <v>16.183333333333334</v>
      </c>
      <c r="D1005" s="18">
        <f t="shared" si="51"/>
        <v>21.858905896558777</v>
      </c>
      <c r="E1005" s="18">
        <f t="shared" si="52"/>
        <v>36.358371889717233</v>
      </c>
    </row>
    <row r="1006" spans="2:5" x14ac:dyDescent="0.3">
      <c r="B1006" s="457">
        <v>972</v>
      </c>
      <c r="C1006" s="18">
        <f t="shared" si="50"/>
        <v>16.2</v>
      </c>
      <c r="D1006" s="18">
        <f t="shared" si="51"/>
        <v>21.858905898041655</v>
      </c>
      <c r="E1006" s="18">
        <f t="shared" si="52"/>
        <v>36.358371902766585</v>
      </c>
    </row>
    <row r="1007" spans="2:5" x14ac:dyDescent="0.3">
      <c r="B1007" s="457">
        <v>973</v>
      </c>
      <c r="C1007" s="18">
        <f t="shared" si="50"/>
        <v>16.216666666666665</v>
      </c>
      <c r="D1007" s="18">
        <f t="shared" si="51"/>
        <v>21.858905899498968</v>
      </c>
      <c r="E1007" s="18">
        <f t="shared" si="52"/>
        <v>36.358371915590922</v>
      </c>
    </row>
    <row r="1008" spans="2:5" x14ac:dyDescent="0.3">
      <c r="B1008" s="457">
        <v>974</v>
      </c>
      <c r="C1008" s="18">
        <f t="shared" si="50"/>
        <v>16.233333333333334</v>
      </c>
      <c r="D1008" s="18">
        <f t="shared" si="51"/>
        <v>21.858905900931152</v>
      </c>
      <c r="E1008" s="18">
        <f t="shared" si="52"/>
        <v>36.358371928194124</v>
      </c>
    </row>
    <row r="1009" spans="2:5" x14ac:dyDescent="0.3">
      <c r="B1009" s="457">
        <v>975</v>
      </c>
      <c r="C1009" s="18">
        <f t="shared" si="50"/>
        <v>16.25</v>
      </c>
      <c r="D1009" s="18">
        <f t="shared" si="51"/>
        <v>21.858905902338638</v>
      </c>
      <c r="E1009" s="18">
        <f t="shared" si="52"/>
        <v>36.358371940580014</v>
      </c>
    </row>
    <row r="1010" spans="2:5" x14ac:dyDescent="0.3">
      <c r="B1010" s="457">
        <v>976</v>
      </c>
      <c r="C1010" s="18">
        <f t="shared" si="50"/>
        <v>16.266666666666666</v>
      </c>
      <c r="D1010" s="18">
        <f t="shared" si="51"/>
        <v>21.858905903721858</v>
      </c>
      <c r="E1010" s="18">
        <f t="shared" si="52"/>
        <v>36.358371952752336</v>
      </c>
    </row>
    <row r="1011" spans="2:5" x14ac:dyDescent="0.3">
      <c r="B1011" s="457">
        <v>977</v>
      </c>
      <c r="C1011" s="18">
        <f t="shared" si="50"/>
        <v>16.283333333333335</v>
      </c>
      <c r="D1011" s="18">
        <f t="shared" si="51"/>
        <v>21.858905905081222</v>
      </c>
      <c r="E1011" s="18">
        <f t="shared" si="52"/>
        <v>36.358371964714777</v>
      </c>
    </row>
    <row r="1012" spans="2:5" x14ac:dyDescent="0.3">
      <c r="B1012" s="457">
        <v>978</v>
      </c>
      <c r="C1012" s="18">
        <f t="shared" si="50"/>
        <v>16.3</v>
      </c>
      <c r="D1012" s="18">
        <f t="shared" si="51"/>
        <v>21.858905906417153</v>
      </c>
      <c r="E1012" s="18">
        <f t="shared" si="52"/>
        <v>36.358371976470949</v>
      </c>
    </row>
    <row r="1013" spans="2:5" x14ac:dyDescent="0.3">
      <c r="B1013" s="457">
        <v>979</v>
      </c>
      <c r="C1013" s="18">
        <f t="shared" si="50"/>
        <v>16.316666666666666</v>
      </c>
      <c r="D1013" s="18">
        <f t="shared" si="51"/>
        <v>21.858905907730044</v>
      </c>
      <c r="E1013" s="18">
        <f t="shared" si="52"/>
        <v>36.358371988024402</v>
      </c>
    </row>
    <row r="1014" spans="2:5" x14ac:dyDescent="0.3">
      <c r="B1014" s="457">
        <v>980</v>
      </c>
      <c r="C1014" s="18">
        <f t="shared" si="50"/>
        <v>16.333333333333332</v>
      </c>
      <c r="D1014" s="18">
        <f t="shared" si="51"/>
        <v>21.858905909020301</v>
      </c>
      <c r="E1014" s="18">
        <f t="shared" si="52"/>
        <v>36.358371999378647</v>
      </c>
    </row>
    <row r="1015" spans="2:5" x14ac:dyDescent="0.3">
      <c r="B1015" s="457">
        <v>981</v>
      </c>
      <c r="C1015" s="18">
        <f t="shared" si="50"/>
        <v>16.350000000000001</v>
      </c>
      <c r="D1015" s="18">
        <f t="shared" si="51"/>
        <v>21.858905910288307</v>
      </c>
      <c r="E1015" s="18">
        <f t="shared" si="52"/>
        <v>36.35837201053711</v>
      </c>
    </row>
    <row r="1016" spans="2:5" x14ac:dyDescent="0.3">
      <c r="B1016" s="457">
        <v>982</v>
      </c>
      <c r="C1016" s="18">
        <f t="shared" si="50"/>
        <v>16.366666666666667</v>
      </c>
      <c r="D1016" s="18">
        <f t="shared" si="51"/>
        <v>21.85890591153445</v>
      </c>
      <c r="E1016" s="18">
        <f t="shared" si="52"/>
        <v>36.358372021503158</v>
      </c>
    </row>
    <row r="1017" spans="2:5" x14ac:dyDescent="0.3">
      <c r="B1017" s="457">
        <v>983</v>
      </c>
      <c r="C1017" s="18">
        <f t="shared" si="50"/>
        <v>16.383333333333333</v>
      </c>
      <c r="D1017" s="18">
        <f t="shared" si="51"/>
        <v>21.858905912759106</v>
      </c>
      <c r="E1017" s="18">
        <f t="shared" si="52"/>
        <v>36.35837203228013</v>
      </c>
    </row>
    <row r="1018" spans="2:5" x14ac:dyDescent="0.3">
      <c r="B1018" s="457">
        <v>984</v>
      </c>
      <c r="C1018" s="18">
        <f t="shared" si="50"/>
        <v>16.399999999999999</v>
      </c>
      <c r="D1018" s="18">
        <f t="shared" si="51"/>
        <v>21.858905913962644</v>
      </c>
      <c r="E1018" s="18">
        <f t="shared" si="52"/>
        <v>36.358372042871274</v>
      </c>
    </row>
    <row r="1019" spans="2:5" x14ac:dyDescent="0.3">
      <c r="B1019" s="457">
        <v>985</v>
      </c>
      <c r="C1019" s="18">
        <f t="shared" si="50"/>
        <v>16.416666666666668</v>
      </c>
      <c r="D1019" s="18">
        <f t="shared" si="51"/>
        <v>21.858905915145431</v>
      </c>
      <c r="E1019" s="18">
        <f t="shared" si="52"/>
        <v>36.358372053279794</v>
      </c>
    </row>
    <row r="1020" spans="2:5" x14ac:dyDescent="0.3">
      <c r="B1020" s="457">
        <v>986</v>
      </c>
      <c r="C1020" s="18">
        <f t="shared" si="50"/>
        <v>16.433333333333334</v>
      </c>
      <c r="D1020" s="18">
        <f t="shared" si="51"/>
        <v>21.858905916307823</v>
      </c>
      <c r="E1020" s="18">
        <f t="shared" si="52"/>
        <v>36.358372063508845</v>
      </c>
    </row>
    <row r="1021" spans="2:5" x14ac:dyDescent="0.3">
      <c r="B1021" s="457">
        <v>987</v>
      </c>
      <c r="C1021" s="18">
        <f t="shared" si="50"/>
        <v>16.45</v>
      </c>
      <c r="D1021" s="18">
        <f t="shared" si="51"/>
        <v>21.858905917450173</v>
      </c>
      <c r="E1021" s="18">
        <f t="shared" si="52"/>
        <v>36.358372073561512</v>
      </c>
    </row>
    <row r="1022" spans="2:5" x14ac:dyDescent="0.3">
      <c r="B1022" s="457">
        <v>988</v>
      </c>
      <c r="C1022" s="18">
        <f t="shared" si="50"/>
        <v>16.466666666666665</v>
      </c>
      <c r="D1022" s="18">
        <f t="shared" si="51"/>
        <v>21.858905918572823</v>
      </c>
      <c r="E1022" s="18">
        <f t="shared" si="52"/>
        <v>36.358372083440841</v>
      </c>
    </row>
    <row r="1023" spans="2:5" x14ac:dyDescent="0.3">
      <c r="B1023" s="457">
        <v>989</v>
      </c>
      <c r="C1023" s="18">
        <f t="shared" si="50"/>
        <v>16.483333333333334</v>
      </c>
      <c r="D1023" s="18">
        <f t="shared" si="51"/>
        <v>21.858905919676115</v>
      </c>
      <c r="E1023" s="18">
        <f t="shared" si="52"/>
        <v>36.358372093149825</v>
      </c>
    </row>
    <row r="1024" spans="2:5" x14ac:dyDescent="0.3">
      <c r="B1024" s="457">
        <v>990</v>
      </c>
      <c r="C1024" s="18">
        <f t="shared" si="50"/>
        <v>16.5</v>
      </c>
      <c r="D1024" s="18">
        <f t="shared" si="51"/>
        <v>21.858905920760385</v>
      </c>
      <c r="E1024" s="18">
        <f t="shared" si="52"/>
        <v>36.358372102691398</v>
      </c>
    </row>
    <row r="1025" spans="2:5" x14ac:dyDescent="0.3">
      <c r="B1025" s="457">
        <v>991</v>
      </c>
      <c r="C1025" s="18">
        <f t="shared" si="50"/>
        <v>16.516666666666666</v>
      </c>
      <c r="D1025" s="18">
        <f t="shared" si="51"/>
        <v>21.858905921825958</v>
      </c>
      <c r="E1025" s="18">
        <f t="shared" si="52"/>
        <v>36.358372112068452</v>
      </c>
    </row>
    <row r="1026" spans="2:5" x14ac:dyDescent="0.3">
      <c r="B1026" s="457">
        <v>992</v>
      </c>
      <c r="C1026" s="18">
        <f t="shared" si="50"/>
        <v>16.533333333333335</v>
      </c>
      <c r="D1026" s="18">
        <f t="shared" si="51"/>
        <v>21.858905922873159</v>
      </c>
      <c r="E1026" s="18">
        <f t="shared" si="52"/>
        <v>36.358372121283807</v>
      </c>
    </row>
    <row r="1027" spans="2:5" x14ac:dyDescent="0.3">
      <c r="B1027" s="457">
        <v>993</v>
      </c>
      <c r="C1027" s="18">
        <f t="shared" si="50"/>
        <v>16.55</v>
      </c>
      <c r="D1027" s="18">
        <f t="shared" si="51"/>
        <v>21.858905923902302</v>
      </c>
      <c r="E1027" s="18">
        <f t="shared" si="52"/>
        <v>36.358372130340264</v>
      </c>
    </row>
    <row r="1028" spans="2:5" x14ac:dyDescent="0.3">
      <c r="B1028" s="457">
        <v>994</v>
      </c>
      <c r="C1028" s="18">
        <f t="shared" si="50"/>
        <v>16.566666666666666</v>
      </c>
      <c r="D1028" s="18">
        <f t="shared" si="51"/>
        <v>21.858905924913699</v>
      </c>
      <c r="E1028" s="18">
        <f t="shared" si="52"/>
        <v>36.358372139240565</v>
      </c>
    </row>
    <row r="1029" spans="2:5" x14ac:dyDescent="0.3">
      <c r="B1029" s="457">
        <v>995</v>
      </c>
      <c r="C1029" s="18">
        <f t="shared" si="50"/>
        <v>16.583333333333332</v>
      </c>
      <c r="D1029" s="18">
        <f t="shared" si="51"/>
        <v>21.85890592590766</v>
      </c>
      <c r="E1029" s="18">
        <f t="shared" si="52"/>
        <v>36.358372147987396</v>
      </c>
    </row>
    <row r="1030" spans="2:5" x14ac:dyDescent="0.3">
      <c r="B1030" s="457">
        <v>996</v>
      </c>
      <c r="C1030" s="18">
        <f t="shared" si="50"/>
        <v>16.600000000000001</v>
      </c>
      <c r="D1030" s="18">
        <f t="shared" si="51"/>
        <v>21.858905926884479</v>
      </c>
      <c r="E1030" s="18">
        <f t="shared" si="52"/>
        <v>36.358372156583407</v>
      </c>
    </row>
    <row r="1031" spans="2:5" x14ac:dyDescent="0.3">
      <c r="B1031" s="457">
        <v>997</v>
      </c>
      <c r="C1031" s="18">
        <f t="shared" si="50"/>
        <v>16.616666666666667</v>
      </c>
      <c r="D1031" s="18">
        <f t="shared" si="51"/>
        <v>21.858905927844454</v>
      </c>
      <c r="E1031" s="18">
        <f t="shared" si="52"/>
        <v>36.358372165031199</v>
      </c>
    </row>
    <row r="1032" spans="2:5" x14ac:dyDescent="0.3">
      <c r="B1032" s="457">
        <v>998</v>
      </c>
      <c r="C1032" s="18">
        <f t="shared" si="50"/>
        <v>16.633333333333333</v>
      </c>
      <c r="D1032" s="18">
        <f t="shared" si="51"/>
        <v>21.858905928787877</v>
      </c>
      <c r="E1032" s="18">
        <f t="shared" si="52"/>
        <v>36.358372173333322</v>
      </c>
    </row>
    <row r="1033" spans="2:5" x14ac:dyDescent="0.3">
      <c r="B1033" s="457">
        <v>999</v>
      </c>
      <c r="C1033" s="18">
        <f t="shared" si="50"/>
        <v>16.649999999999999</v>
      </c>
      <c r="D1033" s="18">
        <f t="shared" si="51"/>
        <v>21.858905929715032</v>
      </c>
      <c r="E1033" s="18">
        <f t="shared" si="52"/>
        <v>36.3583721814923</v>
      </c>
    </row>
    <row r="1034" spans="2:5" x14ac:dyDescent="0.3">
      <c r="B1034" s="457">
        <v>1000</v>
      </c>
      <c r="C1034" s="18">
        <f t="shared" si="50"/>
        <v>16.666666666666668</v>
      </c>
      <c r="D1034" s="18">
        <f t="shared" si="51"/>
        <v>21.858905930626204</v>
      </c>
      <c r="E1034" s="18">
        <f t="shared" si="52"/>
        <v>36.35837218951059</v>
      </c>
    </row>
    <row r="1035" spans="2:5" x14ac:dyDescent="0.3">
      <c r="B1035" s="457">
        <v>1001</v>
      </c>
      <c r="C1035" s="18">
        <f t="shared" si="50"/>
        <v>16.683333333333334</v>
      </c>
      <c r="D1035" s="18">
        <f t="shared" si="51"/>
        <v>21.858905931521662</v>
      </c>
      <c r="E1035" s="18">
        <f t="shared" si="52"/>
        <v>36.358372197390615</v>
      </c>
    </row>
    <row r="1036" spans="2:5" x14ac:dyDescent="0.3">
      <c r="B1036" s="457">
        <v>1002</v>
      </c>
      <c r="C1036" s="18">
        <f t="shared" si="50"/>
        <v>16.7</v>
      </c>
      <c r="D1036" s="18">
        <f t="shared" si="51"/>
        <v>21.858905932401679</v>
      </c>
      <c r="E1036" s="18">
        <f t="shared" si="52"/>
        <v>36.358372205134771</v>
      </c>
    </row>
    <row r="1037" spans="2:5" x14ac:dyDescent="0.3">
      <c r="B1037" s="457">
        <v>1003</v>
      </c>
      <c r="C1037" s="18">
        <f t="shared" si="50"/>
        <v>16.716666666666665</v>
      </c>
      <c r="D1037" s="18">
        <f t="shared" si="51"/>
        <v>21.85890593326652</v>
      </c>
      <c r="E1037" s="18">
        <f t="shared" si="52"/>
        <v>36.358372212745394</v>
      </c>
    </row>
    <row r="1038" spans="2:5" x14ac:dyDescent="0.3">
      <c r="B1038" s="457">
        <v>1004</v>
      </c>
      <c r="C1038" s="18">
        <f t="shared" si="50"/>
        <v>16.733333333333334</v>
      </c>
      <c r="D1038" s="18">
        <f t="shared" si="51"/>
        <v>21.858905934116454</v>
      </c>
      <c r="E1038" s="18">
        <f t="shared" si="52"/>
        <v>36.358372220224787</v>
      </c>
    </row>
    <row r="1039" spans="2:5" x14ac:dyDescent="0.3">
      <c r="B1039" s="457">
        <v>1005</v>
      </c>
      <c r="C1039" s="18">
        <f t="shared" si="50"/>
        <v>16.75</v>
      </c>
      <c r="D1039" s="18">
        <f t="shared" si="51"/>
        <v>21.858905934951729</v>
      </c>
      <c r="E1039" s="18">
        <f t="shared" si="52"/>
        <v>36.358372227575217</v>
      </c>
    </row>
    <row r="1040" spans="2:5" x14ac:dyDescent="0.3">
      <c r="B1040" s="457">
        <v>1006</v>
      </c>
      <c r="C1040" s="18">
        <f t="shared" si="50"/>
        <v>16.766666666666666</v>
      </c>
      <c r="D1040" s="18">
        <f t="shared" si="51"/>
        <v>21.858905935772601</v>
      </c>
      <c r="E1040" s="18">
        <f t="shared" si="52"/>
        <v>36.358372234798892</v>
      </c>
    </row>
    <row r="1041" spans="2:5" x14ac:dyDescent="0.3">
      <c r="B1041" s="457">
        <v>1007</v>
      </c>
      <c r="C1041" s="18">
        <f t="shared" si="50"/>
        <v>16.783333333333335</v>
      </c>
      <c r="D1041" s="18">
        <f t="shared" si="51"/>
        <v>21.858905936579319</v>
      </c>
      <c r="E1041" s="18">
        <f t="shared" si="52"/>
        <v>36.358372241898024</v>
      </c>
    </row>
    <row r="1042" spans="2:5" x14ac:dyDescent="0.3">
      <c r="B1042" s="457">
        <v>1008</v>
      </c>
      <c r="C1042" s="18">
        <f t="shared" si="50"/>
        <v>16.8</v>
      </c>
      <c r="D1042" s="18">
        <f t="shared" si="51"/>
        <v>21.858905937372128</v>
      </c>
      <c r="E1042" s="18">
        <f t="shared" si="52"/>
        <v>36.358372248874744</v>
      </c>
    </row>
    <row r="1043" spans="2:5" x14ac:dyDescent="0.3">
      <c r="B1043" s="457">
        <v>1009</v>
      </c>
      <c r="C1043" s="18">
        <f t="shared" si="50"/>
        <v>16.816666666666666</v>
      </c>
      <c r="D1043" s="18">
        <f t="shared" si="51"/>
        <v>21.858905938151267</v>
      </c>
      <c r="E1043" s="18">
        <f t="shared" si="52"/>
        <v>36.358372255731155</v>
      </c>
    </row>
    <row r="1044" spans="2:5" x14ac:dyDescent="0.3">
      <c r="B1044" s="457">
        <v>1010</v>
      </c>
      <c r="C1044" s="18">
        <f t="shared" si="50"/>
        <v>16.833333333333332</v>
      </c>
      <c r="D1044" s="18">
        <f t="shared" si="51"/>
        <v>21.858905938916973</v>
      </c>
      <c r="E1044" s="18">
        <f t="shared" si="52"/>
        <v>36.358372262469352</v>
      </c>
    </row>
    <row r="1045" spans="2:5" x14ac:dyDescent="0.3">
      <c r="B1045" s="457">
        <v>1011</v>
      </c>
      <c r="C1045" s="18">
        <f t="shared" si="50"/>
        <v>16.850000000000001</v>
      </c>
      <c r="D1045" s="18">
        <f t="shared" si="51"/>
        <v>21.858905939669473</v>
      </c>
      <c r="E1045" s="18">
        <f t="shared" si="52"/>
        <v>36.358372269091362</v>
      </c>
    </row>
    <row r="1046" spans="2:5" x14ac:dyDescent="0.3">
      <c r="B1046" s="457">
        <v>1012</v>
      </c>
      <c r="C1046" s="18">
        <f t="shared" si="50"/>
        <v>16.866666666666667</v>
      </c>
      <c r="D1046" s="18">
        <f t="shared" si="51"/>
        <v>21.858905940408999</v>
      </c>
      <c r="E1046" s="18">
        <f t="shared" si="52"/>
        <v>36.35837227559918</v>
      </c>
    </row>
    <row r="1047" spans="2:5" x14ac:dyDescent="0.3">
      <c r="B1047" s="457">
        <v>1013</v>
      </c>
      <c r="C1047" s="18">
        <f t="shared" si="50"/>
        <v>16.883333333333333</v>
      </c>
      <c r="D1047" s="18">
        <f t="shared" si="51"/>
        <v>21.85890594113577</v>
      </c>
      <c r="E1047" s="18">
        <f t="shared" si="52"/>
        <v>36.358372281994789</v>
      </c>
    </row>
    <row r="1048" spans="2:5" x14ac:dyDescent="0.3">
      <c r="B1048" s="457">
        <v>1014</v>
      </c>
      <c r="C1048" s="18">
        <f t="shared" si="50"/>
        <v>16.899999999999999</v>
      </c>
      <c r="D1048" s="18">
        <f t="shared" si="51"/>
        <v>21.858905941850015</v>
      </c>
      <c r="E1048" s="18">
        <f t="shared" si="52"/>
        <v>36.358372288280123</v>
      </c>
    </row>
    <row r="1049" spans="2:5" x14ac:dyDescent="0.3">
      <c r="B1049" s="457">
        <v>1015</v>
      </c>
      <c r="C1049" s="18">
        <f t="shared" si="50"/>
        <v>16.916666666666668</v>
      </c>
      <c r="D1049" s="18">
        <f t="shared" si="51"/>
        <v>21.858905942551939</v>
      </c>
      <c r="E1049" s="18">
        <f t="shared" si="52"/>
        <v>36.358372294457077</v>
      </c>
    </row>
    <row r="1050" spans="2:5" x14ac:dyDescent="0.3">
      <c r="B1050" s="457">
        <v>1016</v>
      </c>
      <c r="C1050" s="18">
        <f t="shared" si="50"/>
        <v>16.933333333333334</v>
      </c>
      <c r="D1050" s="18">
        <f t="shared" si="51"/>
        <v>21.858905943241762</v>
      </c>
      <c r="E1050" s="18">
        <f t="shared" si="52"/>
        <v>36.35837230052752</v>
      </c>
    </row>
    <row r="1051" spans="2:5" x14ac:dyDescent="0.3">
      <c r="B1051" s="457">
        <v>1017</v>
      </c>
      <c r="C1051" s="18">
        <f t="shared" si="50"/>
        <v>16.95</v>
      </c>
      <c r="D1051" s="18">
        <f t="shared" si="51"/>
        <v>21.858905943919691</v>
      </c>
      <c r="E1051" s="18">
        <f t="shared" si="52"/>
        <v>36.358372306493294</v>
      </c>
    </row>
    <row r="1052" spans="2:5" x14ac:dyDescent="0.3">
      <c r="B1052" s="457">
        <v>1018</v>
      </c>
      <c r="C1052" s="18">
        <f t="shared" si="50"/>
        <v>16.966666666666665</v>
      </c>
      <c r="D1052" s="18">
        <f t="shared" si="51"/>
        <v>21.858905944585931</v>
      </c>
      <c r="E1052" s="18">
        <f t="shared" si="52"/>
        <v>36.358372312356195</v>
      </c>
    </row>
    <row r="1053" spans="2:5" x14ac:dyDescent="0.3">
      <c r="B1053" s="457">
        <v>1019</v>
      </c>
      <c r="C1053" s="18">
        <f t="shared" si="50"/>
        <v>16.983333333333334</v>
      </c>
      <c r="D1053" s="18">
        <f t="shared" si="51"/>
        <v>21.858905945240682</v>
      </c>
      <c r="E1053" s="18">
        <f t="shared" si="52"/>
        <v>36.358372318118008</v>
      </c>
    </row>
    <row r="1054" spans="2:5" x14ac:dyDescent="0.3">
      <c r="B1054" s="457">
        <v>1020</v>
      </c>
      <c r="C1054" s="18">
        <f t="shared" si="50"/>
        <v>17</v>
      </c>
      <c r="D1054" s="18">
        <f t="shared" si="51"/>
        <v>21.858905945884143</v>
      </c>
      <c r="E1054" s="18">
        <f t="shared" si="52"/>
        <v>36.358372323780472</v>
      </c>
    </row>
    <row r="1055" spans="2:5" x14ac:dyDescent="0.3">
      <c r="B1055" s="457">
        <v>1021</v>
      </c>
      <c r="C1055" s="18">
        <f t="shared" si="50"/>
        <v>17.016666666666666</v>
      </c>
      <c r="D1055" s="18">
        <f t="shared" si="51"/>
        <v>21.858905946516511</v>
      </c>
      <c r="E1055" s="18">
        <f t="shared" si="52"/>
        <v>36.358372329345293</v>
      </c>
    </row>
    <row r="1056" spans="2:5" x14ac:dyDescent="0.3">
      <c r="B1056" s="457">
        <v>1022</v>
      </c>
      <c r="C1056" s="18">
        <f t="shared" si="50"/>
        <v>17.033333333333335</v>
      </c>
      <c r="D1056" s="18">
        <f t="shared" si="51"/>
        <v>21.858905947137973</v>
      </c>
      <c r="E1056" s="18">
        <f t="shared" si="52"/>
        <v>36.358372334814163</v>
      </c>
    </row>
    <row r="1057" spans="2:5" x14ac:dyDescent="0.3">
      <c r="B1057" s="457">
        <v>1023</v>
      </c>
      <c r="C1057" s="18">
        <f t="shared" si="50"/>
        <v>17.05</v>
      </c>
      <c r="D1057" s="18">
        <f t="shared" si="51"/>
        <v>21.85890594774872</v>
      </c>
      <c r="E1057" s="18">
        <f t="shared" si="52"/>
        <v>36.358372340188737</v>
      </c>
    </row>
    <row r="1058" spans="2:5" x14ac:dyDescent="0.3">
      <c r="B1058" s="457">
        <v>1024</v>
      </c>
      <c r="C1058" s="18">
        <f t="shared" si="50"/>
        <v>17.066666666666666</v>
      </c>
      <c r="D1058" s="18">
        <f t="shared" si="51"/>
        <v>21.858905948348934</v>
      </c>
      <c r="E1058" s="18">
        <f t="shared" si="52"/>
        <v>36.358372345470627</v>
      </c>
    </row>
    <row r="1059" spans="2:5" x14ac:dyDescent="0.3">
      <c r="B1059" s="457">
        <v>1025</v>
      </c>
      <c r="C1059" s="18">
        <f t="shared" si="50"/>
        <v>17.083333333333332</v>
      </c>
      <c r="D1059" s="18">
        <f t="shared" si="51"/>
        <v>21.858905948938801</v>
      </c>
      <c r="E1059" s="18">
        <f t="shared" si="52"/>
        <v>36.358372350661455</v>
      </c>
    </row>
    <row r="1060" spans="2:5" x14ac:dyDescent="0.3">
      <c r="B1060" s="457">
        <v>1026</v>
      </c>
      <c r="C1060" s="18">
        <f t="shared" ref="C1060:C1123" si="53">B1060/60</f>
        <v>17.100000000000001</v>
      </c>
      <c r="D1060" s="18">
        <f t="shared" ref="D1060:D1123" si="54">$I$32+$G$27/$A$32/$D$32*(1-EXP(-B1060/($G$32*$H$32/$A$32/$D$32)))</f>
        <v>21.858905949518498</v>
      </c>
      <c r="E1060" s="18">
        <f t="shared" ref="E1060:E1123" si="55">$I$32+$G$27/$A$32/$E$32*(1-EXP(-B1060/($G$32*$H$32/$A$32/$D$32)))</f>
        <v>36.358372355762768</v>
      </c>
    </row>
    <row r="1061" spans="2:5" x14ac:dyDescent="0.3">
      <c r="B1061" s="457">
        <v>1027</v>
      </c>
      <c r="C1061" s="18">
        <f t="shared" si="53"/>
        <v>17.116666666666667</v>
      </c>
      <c r="D1061" s="18">
        <f t="shared" si="54"/>
        <v>21.858905950088197</v>
      </c>
      <c r="E1061" s="18">
        <f t="shared" si="55"/>
        <v>36.358372360776123</v>
      </c>
    </row>
    <row r="1062" spans="2:5" x14ac:dyDescent="0.3">
      <c r="B1062" s="457">
        <v>1028</v>
      </c>
      <c r="C1062" s="18">
        <f t="shared" si="53"/>
        <v>17.133333333333333</v>
      </c>
      <c r="D1062" s="18">
        <f t="shared" si="54"/>
        <v>21.858905950648072</v>
      </c>
      <c r="E1062" s="18">
        <f t="shared" si="55"/>
        <v>36.358372365703033</v>
      </c>
    </row>
    <row r="1063" spans="2:5" x14ac:dyDescent="0.3">
      <c r="B1063" s="457">
        <v>1029</v>
      </c>
      <c r="C1063" s="18">
        <f t="shared" si="53"/>
        <v>17.149999999999999</v>
      </c>
      <c r="D1063" s="18">
        <f t="shared" si="54"/>
        <v>21.858905951198295</v>
      </c>
      <c r="E1063" s="18">
        <f t="shared" si="55"/>
        <v>36.358372370544984</v>
      </c>
    </row>
    <row r="1064" spans="2:5" x14ac:dyDescent="0.3">
      <c r="B1064" s="457">
        <v>1030</v>
      </c>
      <c r="C1064" s="18">
        <f t="shared" si="53"/>
        <v>17.166666666666668</v>
      </c>
      <c r="D1064" s="18">
        <f t="shared" si="54"/>
        <v>21.858905951739029</v>
      </c>
      <c r="E1064" s="18">
        <f t="shared" si="55"/>
        <v>36.35837237530346</v>
      </c>
    </row>
    <row r="1065" spans="2:5" x14ac:dyDescent="0.3">
      <c r="B1065" s="457">
        <v>1031</v>
      </c>
      <c r="C1065" s="18">
        <f t="shared" si="53"/>
        <v>17.183333333333334</v>
      </c>
      <c r="D1065" s="18">
        <f t="shared" si="54"/>
        <v>21.85890595227044</v>
      </c>
      <c r="E1065" s="18">
        <f t="shared" si="55"/>
        <v>36.358372379979869</v>
      </c>
    </row>
    <row r="1066" spans="2:5" x14ac:dyDescent="0.3">
      <c r="B1066" s="457">
        <v>1032</v>
      </c>
      <c r="C1066" s="18">
        <f t="shared" si="53"/>
        <v>17.2</v>
      </c>
      <c r="D1066" s="18">
        <f t="shared" si="54"/>
        <v>21.858905952792689</v>
      </c>
      <c r="E1066" s="18">
        <f t="shared" si="55"/>
        <v>36.358372384575652</v>
      </c>
    </row>
    <row r="1067" spans="2:5" x14ac:dyDescent="0.3">
      <c r="B1067" s="457">
        <v>1033</v>
      </c>
      <c r="C1067" s="18">
        <f t="shared" si="53"/>
        <v>17.216666666666665</v>
      </c>
      <c r="D1067" s="18">
        <f t="shared" si="54"/>
        <v>21.858905953305932</v>
      </c>
      <c r="E1067" s="18">
        <f t="shared" si="55"/>
        <v>36.358372389092189</v>
      </c>
    </row>
    <row r="1068" spans="2:5" x14ac:dyDescent="0.3">
      <c r="B1068" s="457">
        <v>1034</v>
      </c>
      <c r="C1068" s="18">
        <f t="shared" si="53"/>
        <v>17.233333333333334</v>
      </c>
      <c r="D1068" s="18">
        <f t="shared" si="54"/>
        <v>21.858905953810325</v>
      </c>
      <c r="E1068" s="18">
        <f t="shared" si="55"/>
        <v>36.358372393530843</v>
      </c>
    </row>
    <row r="1069" spans="2:5" x14ac:dyDescent="0.3">
      <c r="B1069" s="457">
        <v>1035</v>
      </c>
      <c r="C1069" s="18">
        <f t="shared" si="53"/>
        <v>17.25</v>
      </c>
      <c r="D1069" s="18">
        <f t="shared" si="54"/>
        <v>21.858905954306017</v>
      </c>
      <c r="E1069" s="18">
        <f t="shared" si="55"/>
        <v>36.358372397892964</v>
      </c>
    </row>
    <row r="1070" spans="2:5" x14ac:dyDescent="0.3">
      <c r="B1070" s="457">
        <v>1036</v>
      </c>
      <c r="C1070" s="18">
        <f t="shared" si="53"/>
        <v>17.266666666666666</v>
      </c>
      <c r="D1070" s="18">
        <f t="shared" si="54"/>
        <v>21.858905954793169</v>
      </c>
      <c r="E1070" s="18">
        <f t="shared" si="55"/>
        <v>36.358372402179874</v>
      </c>
    </row>
    <row r="1071" spans="2:5" x14ac:dyDescent="0.3">
      <c r="B1071" s="457">
        <v>1037</v>
      </c>
      <c r="C1071" s="18">
        <f t="shared" si="53"/>
        <v>17.283333333333335</v>
      </c>
      <c r="D1071" s="18">
        <f t="shared" si="54"/>
        <v>21.858905955271915</v>
      </c>
      <c r="E1071" s="18">
        <f t="shared" si="55"/>
        <v>36.35837240639286</v>
      </c>
    </row>
    <row r="1072" spans="2:5" x14ac:dyDescent="0.3">
      <c r="B1072" s="457">
        <v>1038</v>
      </c>
      <c r="C1072" s="18">
        <f t="shared" si="53"/>
        <v>17.3</v>
      </c>
      <c r="D1072" s="18">
        <f t="shared" si="54"/>
        <v>21.858905955742408</v>
      </c>
      <c r="E1072" s="18">
        <f t="shared" si="55"/>
        <v>36.358372410533207</v>
      </c>
    </row>
    <row r="1073" spans="2:5" x14ac:dyDescent="0.3">
      <c r="B1073" s="457">
        <v>1039</v>
      </c>
      <c r="C1073" s="18">
        <f t="shared" si="53"/>
        <v>17.316666666666666</v>
      </c>
      <c r="D1073" s="18">
        <f t="shared" si="54"/>
        <v>21.85890595620479</v>
      </c>
      <c r="E1073" s="18">
        <f t="shared" si="55"/>
        <v>36.358372414602158</v>
      </c>
    </row>
    <row r="1074" spans="2:5" x14ac:dyDescent="0.3">
      <c r="B1074" s="457">
        <v>1040</v>
      </c>
      <c r="C1074" s="18">
        <f t="shared" si="53"/>
        <v>17.333333333333332</v>
      </c>
      <c r="D1074" s="18">
        <f t="shared" si="54"/>
        <v>21.8589059566592</v>
      </c>
      <c r="E1074" s="18">
        <f t="shared" si="55"/>
        <v>36.35837241860095</v>
      </c>
    </row>
    <row r="1075" spans="2:5" x14ac:dyDescent="0.3">
      <c r="B1075" s="457">
        <v>1041</v>
      </c>
      <c r="C1075" s="18">
        <f t="shared" si="53"/>
        <v>17.350000000000001</v>
      </c>
      <c r="D1075" s="18">
        <f t="shared" si="54"/>
        <v>21.858905957105772</v>
      </c>
      <c r="E1075" s="18">
        <f t="shared" si="55"/>
        <v>36.358372422530792</v>
      </c>
    </row>
    <row r="1076" spans="2:5" x14ac:dyDescent="0.3">
      <c r="B1076" s="457">
        <v>1042</v>
      </c>
      <c r="C1076" s="18">
        <f t="shared" si="53"/>
        <v>17.366666666666667</v>
      </c>
      <c r="D1076" s="18">
        <f t="shared" si="54"/>
        <v>21.858905957544643</v>
      </c>
      <c r="E1076" s="18">
        <f t="shared" si="55"/>
        <v>36.358372426392869</v>
      </c>
    </row>
    <row r="1077" spans="2:5" x14ac:dyDescent="0.3">
      <c r="B1077" s="457">
        <v>1043</v>
      </c>
      <c r="C1077" s="18">
        <f t="shared" si="53"/>
        <v>17.383333333333333</v>
      </c>
      <c r="D1077" s="18">
        <f t="shared" si="54"/>
        <v>21.858905957975949</v>
      </c>
      <c r="E1077" s="18">
        <f t="shared" si="55"/>
        <v>36.358372430188354</v>
      </c>
    </row>
    <row r="1078" spans="2:5" x14ac:dyDescent="0.3">
      <c r="B1078" s="457">
        <v>1044</v>
      </c>
      <c r="C1078" s="18">
        <f t="shared" si="53"/>
        <v>17.399999999999999</v>
      </c>
      <c r="D1078" s="18">
        <f t="shared" si="54"/>
        <v>21.858905958399816</v>
      </c>
      <c r="E1078" s="18">
        <f t="shared" si="55"/>
        <v>36.35837243391839</v>
      </c>
    </row>
    <row r="1079" spans="2:5" x14ac:dyDescent="0.3">
      <c r="B1079" s="457">
        <v>1045</v>
      </c>
      <c r="C1079" s="18">
        <f t="shared" si="53"/>
        <v>17.416666666666668</v>
      </c>
      <c r="D1079" s="18">
        <f t="shared" si="54"/>
        <v>21.858905958816376</v>
      </c>
      <c r="E1079" s="18">
        <f t="shared" si="55"/>
        <v>36.358372437584123</v>
      </c>
    </row>
    <row r="1080" spans="2:5" x14ac:dyDescent="0.3">
      <c r="B1080" s="457">
        <v>1046</v>
      </c>
      <c r="C1080" s="18">
        <f t="shared" si="53"/>
        <v>17.433333333333334</v>
      </c>
      <c r="D1080" s="18">
        <f t="shared" si="54"/>
        <v>21.858905959225755</v>
      </c>
      <c r="E1080" s="18">
        <f t="shared" si="55"/>
        <v>36.358372441186631</v>
      </c>
    </row>
    <row r="1081" spans="2:5" x14ac:dyDescent="0.3">
      <c r="B1081" s="457">
        <v>1047</v>
      </c>
      <c r="C1081" s="18">
        <f t="shared" si="53"/>
        <v>17.45</v>
      </c>
      <c r="D1081" s="18">
        <f t="shared" si="54"/>
        <v>21.858905959628071</v>
      </c>
      <c r="E1081" s="18">
        <f t="shared" si="55"/>
        <v>36.358372444727024</v>
      </c>
    </row>
    <row r="1082" spans="2:5" x14ac:dyDescent="0.3">
      <c r="B1082" s="457">
        <v>1048</v>
      </c>
      <c r="C1082" s="18">
        <f t="shared" si="53"/>
        <v>17.466666666666665</v>
      </c>
      <c r="D1082" s="18">
        <f t="shared" si="54"/>
        <v>21.858905960023453</v>
      </c>
      <c r="E1082" s="18">
        <f t="shared" si="55"/>
        <v>36.358372448206381</v>
      </c>
    </row>
    <row r="1083" spans="2:5" x14ac:dyDescent="0.3">
      <c r="B1083" s="457">
        <v>1049</v>
      </c>
      <c r="C1083" s="18">
        <f t="shared" si="53"/>
        <v>17.483333333333334</v>
      </c>
      <c r="D1083" s="18">
        <f t="shared" si="54"/>
        <v>21.858905960412017</v>
      </c>
      <c r="E1083" s="18">
        <f t="shared" si="55"/>
        <v>36.35837245162574</v>
      </c>
    </row>
    <row r="1084" spans="2:5" x14ac:dyDescent="0.3">
      <c r="B1084" s="457">
        <v>1050</v>
      </c>
      <c r="C1084" s="18">
        <f t="shared" si="53"/>
        <v>17.5</v>
      </c>
      <c r="D1084" s="18">
        <f t="shared" si="54"/>
        <v>21.85890596079388</v>
      </c>
      <c r="E1084" s="18">
        <f t="shared" si="55"/>
        <v>36.358372454986132</v>
      </c>
    </row>
    <row r="1085" spans="2:5" x14ac:dyDescent="0.3">
      <c r="B1085" s="457">
        <v>1051</v>
      </c>
      <c r="C1085" s="18">
        <f t="shared" si="53"/>
        <v>17.516666666666666</v>
      </c>
      <c r="D1085" s="18">
        <f t="shared" si="54"/>
        <v>21.858905961169157</v>
      </c>
      <c r="E1085" s="18">
        <f t="shared" si="55"/>
        <v>36.358372458288585</v>
      </c>
    </row>
    <row r="1086" spans="2:5" x14ac:dyDescent="0.3">
      <c r="B1086" s="457">
        <v>1052</v>
      </c>
      <c r="C1086" s="18">
        <f t="shared" si="53"/>
        <v>17.533333333333335</v>
      </c>
      <c r="D1086" s="18">
        <f t="shared" si="54"/>
        <v>21.858905961537964</v>
      </c>
      <c r="E1086" s="18">
        <f t="shared" si="55"/>
        <v>36.358372461534096</v>
      </c>
    </row>
    <row r="1087" spans="2:5" x14ac:dyDescent="0.3">
      <c r="B1087" s="457">
        <v>1053</v>
      </c>
      <c r="C1087" s="18">
        <f t="shared" si="53"/>
        <v>17.55</v>
      </c>
      <c r="D1087" s="18">
        <f t="shared" si="54"/>
        <v>21.858905961900415</v>
      </c>
      <c r="E1087" s="18">
        <f t="shared" si="55"/>
        <v>36.358372464723644</v>
      </c>
    </row>
    <row r="1088" spans="2:5" x14ac:dyDescent="0.3">
      <c r="B1088" s="457">
        <v>1054</v>
      </c>
      <c r="C1088" s="18">
        <f t="shared" si="53"/>
        <v>17.566666666666666</v>
      </c>
      <c r="D1088" s="18">
        <f t="shared" si="54"/>
        <v>21.858905962256614</v>
      </c>
      <c r="E1088" s="18">
        <f t="shared" si="55"/>
        <v>36.358372467858189</v>
      </c>
    </row>
    <row r="1089" spans="2:5" x14ac:dyDescent="0.3">
      <c r="B1089" s="457">
        <v>1055</v>
      </c>
      <c r="C1089" s="18">
        <f t="shared" si="53"/>
        <v>17.583333333333332</v>
      </c>
      <c r="D1089" s="18">
        <f t="shared" si="54"/>
        <v>21.85890596260667</v>
      </c>
      <c r="E1089" s="18">
        <f t="shared" si="55"/>
        <v>36.35837247093869</v>
      </c>
    </row>
    <row r="1090" spans="2:5" x14ac:dyDescent="0.3">
      <c r="B1090" s="457">
        <v>1056</v>
      </c>
      <c r="C1090" s="18">
        <f t="shared" si="53"/>
        <v>17.600000000000001</v>
      </c>
      <c r="D1090" s="18">
        <f t="shared" si="54"/>
        <v>21.85890596295069</v>
      </c>
      <c r="E1090" s="18">
        <f t="shared" si="55"/>
        <v>36.358372473966078</v>
      </c>
    </row>
    <row r="1091" spans="2:5" x14ac:dyDescent="0.3">
      <c r="B1091" s="457">
        <v>1057</v>
      </c>
      <c r="C1091" s="18">
        <f t="shared" si="53"/>
        <v>17.616666666666667</v>
      </c>
      <c r="D1091" s="18">
        <f t="shared" si="54"/>
        <v>21.85890596328878</v>
      </c>
      <c r="E1091" s="18">
        <f t="shared" si="55"/>
        <v>36.358372476941263</v>
      </c>
    </row>
    <row r="1092" spans="2:5" x14ac:dyDescent="0.3">
      <c r="B1092" s="457">
        <v>1058</v>
      </c>
      <c r="C1092" s="18">
        <f t="shared" si="53"/>
        <v>17.633333333333333</v>
      </c>
      <c r="D1092" s="18">
        <f t="shared" si="54"/>
        <v>21.858905963621041</v>
      </c>
      <c r="E1092" s="18">
        <f t="shared" si="55"/>
        <v>36.358372479865146</v>
      </c>
    </row>
    <row r="1093" spans="2:5" x14ac:dyDescent="0.3">
      <c r="B1093" s="457">
        <v>1059</v>
      </c>
      <c r="C1093" s="18">
        <f t="shared" si="53"/>
        <v>17.649999999999999</v>
      </c>
      <c r="D1093" s="18">
        <f t="shared" si="54"/>
        <v>21.858905963947571</v>
      </c>
      <c r="E1093" s="18">
        <f t="shared" si="55"/>
        <v>36.358372482738616</v>
      </c>
    </row>
    <row r="1094" spans="2:5" x14ac:dyDescent="0.3">
      <c r="B1094" s="457">
        <v>1060</v>
      </c>
      <c r="C1094" s="18">
        <f t="shared" si="53"/>
        <v>17.666666666666668</v>
      </c>
      <c r="D1094" s="18">
        <f t="shared" si="54"/>
        <v>21.85890596426847</v>
      </c>
      <c r="E1094" s="18">
        <f t="shared" si="55"/>
        <v>36.358372485562526</v>
      </c>
    </row>
    <row r="1095" spans="2:5" x14ac:dyDescent="0.3">
      <c r="B1095" s="457">
        <v>1061</v>
      </c>
      <c r="C1095" s="18">
        <f t="shared" si="53"/>
        <v>17.683333333333334</v>
      </c>
      <c r="D1095" s="18">
        <f t="shared" si="54"/>
        <v>21.858905964583837</v>
      </c>
      <c r="E1095" s="18">
        <f t="shared" si="55"/>
        <v>36.358372488337757</v>
      </c>
    </row>
    <row r="1096" spans="2:5" x14ac:dyDescent="0.3">
      <c r="B1096" s="457">
        <v>1062</v>
      </c>
      <c r="C1096" s="18">
        <f t="shared" si="53"/>
        <v>17.7</v>
      </c>
      <c r="D1096" s="18">
        <f t="shared" si="54"/>
        <v>21.858905964893765</v>
      </c>
      <c r="E1096" s="18">
        <f t="shared" si="55"/>
        <v>36.358372491065126</v>
      </c>
    </row>
    <row r="1097" spans="2:5" x14ac:dyDescent="0.3">
      <c r="B1097" s="457">
        <v>1063</v>
      </c>
      <c r="C1097" s="18">
        <f t="shared" si="53"/>
        <v>17.716666666666665</v>
      </c>
      <c r="D1097" s="18">
        <f t="shared" si="54"/>
        <v>21.85890596519835</v>
      </c>
      <c r="E1097" s="18">
        <f t="shared" si="55"/>
        <v>36.358372493745478</v>
      </c>
    </row>
    <row r="1098" spans="2:5" x14ac:dyDescent="0.3">
      <c r="B1098" s="457">
        <v>1064</v>
      </c>
      <c r="C1098" s="18">
        <f t="shared" si="53"/>
        <v>17.733333333333334</v>
      </c>
      <c r="D1098" s="18">
        <f t="shared" si="54"/>
        <v>21.858905965497684</v>
      </c>
      <c r="E1098" s="18">
        <f t="shared" si="55"/>
        <v>36.358372496379602</v>
      </c>
    </row>
    <row r="1099" spans="2:5" x14ac:dyDescent="0.3">
      <c r="B1099" s="457">
        <v>1065</v>
      </c>
      <c r="C1099" s="18">
        <f t="shared" si="53"/>
        <v>17.75</v>
      </c>
      <c r="D1099" s="18">
        <f t="shared" si="54"/>
        <v>21.858905965791855</v>
      </c>
      <c r="E1099" s="18">
        <f t="shared" si="55"/>
        <v>36.358372498968315</v>
      </c>
    </row>
    <row r="1100" spans="2:5" x14ac:dyDescent="0.3">
      <c r="B1100" s="457">
        <v>1066</v>
      </c>
      <c r="C1100" s="18">
        <f t="shared" si="53"/>
        <v>17.766666666666666</v>
      </c>
      <c r="D1100" s="18">
        <f t="shared" si="54"/>
        <v>21.858905966080954</v>
      </c>
      <c r="E1100" s="18">
        <f t="shared" si="55"/>
        <v>36.358372501512385</v>
      </c>
    </row>
    <row r="1101" spans="2:5" x14ac:dyDescent="0.3">
      <c r="B1101" s="457">
        <v>1067</v>
      </c>
      <c r="C1101" s="18">
        <f t="shared" si="53"/>
        <v>17.783333333333335</v>
      </c>
      <c r="D1101" s="18">
        <f t="shared" si="54"/>
        <v>21.858905966365068</v>
      </c>
      <c r="E1101" s="18">
        <f t="shared" si="55"/>
        <v>36.358372504012593</v>
      </c>
    </row>
    <row r="1102" spans="2:5" x14ac:dyDescent="0.3">
      <c r="B1102" s="457">
        <v>1068</v>
      </c>
      <c r="C1102" s="18">
        <f t="shared" si="53"/>
        <v>17.8</v>
      </c>
      <c r="D1102" s="18">
        <f t="shared" si="54"/>
        <v>21.858905966644283</v>
      </c>
      <c r="E1102" s="18">
        <f t="shared" si="55"/>
        <v>36.358372506469678</v>
      </c>
    </row>
    <row r="1103" spans="2:5" x14ac:dyDescent="0.3">
      <c r="B1103" s="457">
        <v>1069</v>
      </c>
      <c r="C1103" s="18">
        <f t="shared" si="53"/>
        <v>17.816666666666666</v>
      </c>
      <c r="D1103" s="18">
        <f t="shared" si="54"/>
        <v>21.858905966918684</v>
      </c>
      <c r="E1103" s="18">
        <f t="shared" si="55"/>
        <v>36.358372508884408</v>
      </c>
    </row>
    <row r="1104" spans="2:5" x14ac:dyDescent="0.3">
      <c r="B1104" s="457">
        <v>1070</v>
      </c>
      <c r="C1104" s="18">
        <f t="shared" si="53"/>
        <v>17.833333333333332</v>
      </c>
      <c r="D1104" s="18">
        <f t="shared" si="54"/>
        <v>21.858905967188353</v>
      </c>
      <c r="E1104" s="18">
        <f t="shared" si="55"/>
        <v>36.3583725112575</v>
      </c>
    </row>
    <row r="1105" spans="2:5" x14ac:dyDescent="0.3">
      <c r="B1105" s="457">
        <v>1071</v>
      </c>
      <c r="C1105" s="18">
        <f t="shared" si="53"/>
        <v>17.850000000000001</v>
      </c>
      <c r="D1105" s="18">
        <f t="shared" si="54"/>
        <v>21.858905967453371</v>
      </c>
      <c r="E1105" s="18">
        <f t="shared" si="55"/>
        <v>36.358372513589671</v>
      </c>
    </row>
    <row r="1106" spans="2:5" x14ac:dyDescent="0.3">
      <c r="B1106" s="457">
        <v>1072</v>
      </c>
      <c r="C1106" s="18">
        <f t="shared" si="53"/>
        <v>17.866666666666667</v>
      </c>
      <c r="D1106" s="18">
        <f t="shared" si="54"/>
        <v>21.85890596771382</v>
      </c>
      <c r="E1106" s="18">
        <f t="shared" si="55"/>
        <v>36.358372515881626</v>
      </c>
    </row>
    <row r="1107" spans="2:5" x14ac:dyDescent="0.3">
      <c r="B1107" s="457">
        <v>1073</v>
      </c>
      <c r="C1107" s="18">
        <f t="shared" si="53"/>
        <v>17.883333333333333</v>
      </c>
      <c r="D1107" s="18">
        <f t="shared" si="54"/>
        <v>21.858905967969779</v>
      </c>
      <c r="E1107" s="18">
        <f t="shared" si="55"/>
        <v>36.358372518134061</v>
      </c>
    </row>
    <row r="1108" spans="2:5" x14ac:dyDescent="0.3">
      <c r="B1108" s="457">
        <v>1074</v>
      </c>
      <c r="C1108" s="18">
        <f t="shared" si="53"/>
        <v>17.899999999999999</v>
      </c>
      <c r="D1108" s="18">
        <f t="shared" si="54"/>
        <v>21.858905968221325</v>
      </c>
      <c r="E1108" s="18">
        <f t="shared" si="55"/>
        <v>36.358372520347658</v>
      </c>
    </row>
    <row r="1109" spans="2:5" x14ac:dyDescent="0.3">
      <c r="B1109" s="457">
        <v>1075</v>
      </c>
      <c r="C1109" s="18">
        <f t="shared" si="53"/>
        <v>17.916666666666668</v>
      </c>
      <c r="D1109" s="18">
        <f t="shared" si="54"/>
        <v>21.858905968468534</v>
      </c>
      <c r="E1109" s="18">
        <f t="shared" si="55"/>
        <v>36.358372522523084</v>
      </c>
    </row>
    <row r="1110" spans="2:5" x14ac:dyDescent="0.3">
      <c r="B1110" s="457">
        <v>1076</v>
      </c>
      <c r="C1110" s="18">
        <f t="shared" si="53"/>
        <v>17.933333333333334</v>
      </c>
      <c r="D1110" s="18">
        <f t="shared" si="54"/>
        <v>21.858905968711479</v>
      </c>
      <c r="E1110" s="18">
        <f t="shared" si="55"/>
        <v>36.358372524661007</v>
      </c>
    </row>
    <row r="1111" spans="2:5" x14ac:dyDescent="0.3">
      <c r="B1111" s="457">
        <v>1077</v>
      </c>
      <c r="C1111" s="18">
        <f t="shared" si="53"/>
        <v>17.95</v>
      </c>
      <c r="D1111" s="18">
        <f t="shared" si="54"/>
        <v>21.858905968950236</v>
      </c>
      <c r="E1111" s="18">
        <f t="shared" si="55"/>
        <v>36.358372526762061</v>
      </c>
    </row>
    <row r="1112" spans="2:5" x14ac:dyDescent="0.3">
      <c r="B1112" s="457">
        <v>1078</v>
      </c>
      <c r="C1112" s="18">
        <f t="shared" si="53"/>
        <v>17.966666666666665</v>
      </c>
      <c r="D1112" s="18">
        <f t="shared" si="54"/>
        <v>21.858905969184875</v>
      </c>
      <c r="E1112" s="18">
        <f t="shared" si="55"/>
        <v>36.358372528826891</v>
      </c>
    </row>
    <row r="1113" spans="2:5" x14ac:dyDescent="0.3">
      <c r="B1113" s="457">
        <v>1079</v>
      </c>
      <c r="C1113" s="18">
        <f t="shared" si="53"/>
        <v>17.983333333333334</v>
      </c>
      <c r="D1113" s="18">
        <f t="shared" si="54"/>
        <v>21.858905969415467</v>
      </c>
      <c r="E1113" s="18">
        <f t="shared" si="55"/>
        <v>36.358372530856109</v>
      </c>
    </row>
    <row r="1114" spans="2:5" x14ac:dyDescent="0.3">
      <c r="B1114" s="457">
        <v>1080</v>
      </c>
      <c r="C1114" s="18">
        <f t="shared" si="53"/>
        <v>18</v>
      </c>
      <c r="D1114" s="18">
        <f t="shared" si="54"/>
        <v>21.858905969642084</v>
      </c>
      <c r="E1114" s="18">
        <f t="shared" si="55"/>
        <v>36.358372532850339</v>
      </c>
    </row>
    <row r="1115" spans="2:5" x14ac:dyDescent="0.3">
      <c r="B1115" s="457">
        <v>1081</v>
      </c>
      <c r="C1115" s="18">
        <f t="shared" si="53"/>
        <v>18.016666666666666</v>
      </c>
      <c r="D1115" s="18">
        <f t="shared" si="54"/>
        <v>21.858905969864793</v>
      </c>
      <c r="E1115" s="18">
        <f t="shared" si="55"/>
        <v>36.358372534810186</v>
      </c>
    </row>
    <row r="1116" spans="2:5" x14ac:dyDescent="0.3">
      <c r="B1116" s="457">
        <v>1082</v>
      </c>
      <c r="C1116" s="18">
        <f t="shared" si="53"/>
        <v>18.033333333333335</v>
      </c>
      <c r="D1116" s="18">
        <f t="shared" si="54"/>
        <v>21.858905970083665</v>
      </c>
      <c r="E1116" s="18">
        <f t="shared" si="55"/>
        <v>36.35837253673624</v>
      </c>
    </row>
    <row r="1117" spans="2:5" x14ac:dyDescent="0.3">
      <c r="B1117" s="457">
        <v>1083</v>
      </c>
      <c r="C1117" s="18">
        <f t="shared" si="53"/>
        <v>18.05</v>
      </c>
      <c r="D1117" s="18">
        <f t="shared" si="54"/>
        <v>21.85890597029876</v>
      </c>
      <c r="E1117" s="18">
        <f t="shared" si="55"/>
        <v>36.358372538629084</v>
      </c>
    </row>
    <row r="1118" spans="2:5" x14ac:dyDescent="0.3">
      <c r="B1118" s="457">
        <v>1084</v>
      </c>
      <c r="C1118" s="18">
        <f t="shared" si="53"/>
        <v>18.066666666666666</v>
      </c>
      <c r="D1118" s="18">
        <f t="shared" si="54"/>
        <v>21.858905970510147</v>
      </c>
      <c r="E1118" s="18">
        <f t="shared" si="55"/>
        <v>36.358372540489285</v>
      </c>
    </row>
    <row r="1119" spans="2:5" x14ac:dyDescent="0.3">
      <c r="B1119" s="457">
        <v>1085</v>
      </c>
      <c r="C1119" s="18">
        <f t="shared" si="53"/>
        <v>18.083333333333332</v>
      </c>
      <c r="D1119" s="18">
        <f t="shared" si="54"/>
        <v>21.858905970717888</v>
      </c>
      <c r="E1119" s="18">
        <f t="shared" si="55"/>
        <v>36.358372542317412</v>
      </c>
    </row>
    <row r="1120" spans="2:5" x14ac:dyDescent="0.3">
      <c r="B1120" s="457">
        <v>1086</v>
      </c>
      <c r="C1120" s="18">
        <f t="shared" si="53"/>
        <v>18.100000000000001</v>
      </c>
      <c r="D1120" s="18">
        <f t="shared" si="54"/>
        <v>21.858905970922049</v>
      </c>
      <c r="E1120" s="18">
        <f t="shared" si="55"/>
        <v>36.358372544114019</v>
      </c>
    </row>
    <row r="1121" spans="2:5" x14ac:dyDescent="0.3">
      <c r="B1121" s="457">
        <v>1087</v>
      </c>
      <c r="C1121" s="18">
        <f t="shared" si="53"/>
        <v>18.116666666666667</v>
      </c>
      <c r="D1121" s="18">
        <f t="shared" si="54"/>
        <v>21.858905971122688</v>
      </c>
      <c r="E1121" s="18">
        <f t="shared" si="55"/>
        <v>36.358372545879647</v>
      </c>
    </row>
    <row r="1122" spans="2:5" x14ac:dyDescent="0.3">
      <c r="B1122" s="457">
        <v>1088</v>
      </c>
      <c r="C1122" s="18">
        <f t="shared" si="53"/>
        <v>18.133333333333333</v>
      </c>
      <c r="D1122" s="18">
        <f t="shared" si="54"/>
        <v>21.858905971319867</v>
      </c>
      <c r="E1122" s="18">
        <f t="shared" si="55"/>
        <v>36.358372547614835</v>
      </c>
    </row>
    <row r="1123" spans="2:5" x14ac:dyDescent="0.3">
      <c r="B1123" s="457">
        <v>1089</v>
      </c>
      <c r="C1123" s="18">
        <f t="shared" si="53"/>
        <v>18.149999999999999</v>
      </c>
      <c r="D1123" s="18">
        <f t="shared" si="54"/>
        <v>21.858905971513646</v>
      </c>
      <c r="E1123" s="18">
        <f t="shared" si="55"/>
        <v>36.358372549320094</v>
      </c>
    </row>
    <row r="1124" spans="2:5" x14ac:dyDescent="0.3">
      <c r="B1124" s="457">
        <v>1090</v>
      </c>
      <c r="C1124" s="18">
        <f t="shared" ref="C1124:C1187" si="56">B1124/60</f>
        <v>18.166666666666668</v>
      </c>
      <c r="D1124" s="18">
        <f t="shared" ref="D1124:D1187" si="57">$I$32+$G$27/$A$32/$D$32*(1-EXP(-B1124/($G$32*$H$32/$A$32/$D$32)))</f>
        <v>21.858905971704086</v>
      </c>
      <c r="E1124" s="18">
        <f t="shared" ref="E1124:E1187" si="58">$I$32+$G$27/$A$32/$E$32*(1-EXP(-B1124/($G$32*$H$32/$A$32/$D$32)))</f>
        <v>36.358372550995952</v>
      </c>
    </row>
    <row r="1125" spans="2:5" x14ac:dyDescent="0.3">
      <c r="B1125" s="457">
        <v>1091</v>
      </c>
      <c r="C1125" s="18">
        <f t="shared" si="56"/>
        <v>18.183333333333334</v>
      </c>
      <c r="D1125" s="18">
        <f t="shared" si="57"/>
        <v>21.85890597189124</v>
      </c>
      <c r="E1125" s="18">
        <f t="shared" si="58"/>
        <v>36.358372552642919</v>
      </c>
    </row>
    <row r="1126" spans="2:5" x14ac:dyDescent="0.3">
      <c r="B1126" s="457">
        <v>1092</v>
      </c>
      <c r="C1126" s="18">
        <f t="shared" si="56"/>
        <v>18.2</v>
      </c>
      <c r="D1126" s="18">
        <f t="shared" si="57"/>
        <v>21.858905972075167</v>
      </c>
      <c r="E1126" s="18">
        <f t="shared" si="58"/>
        <v>36.358372554261479</v>
      </c>
    </row>
    <row r="1127" spans="2:5" x14ac:dyDescent="0.3">
      <c r="B1127" s="457">
        <v>1093</v>
      </c>
      <c r="C1127" s="18">
        <f t="shared" si="56"/>
        <v>18.216666666666665</v>
      </c>
      <c r="D1127" s="18">
        <f t="shared" si="57"/>
        <v>21.858905972255926</v>
      </c>
      <c r="E1127" s="18">
        <f t="shared" si="58"/>
        <v>36.358372555852135</v>
      </c>
    </row>
    <row r="1128" spans="2:5" x14ac:dyDescent="0.3">
      <c r="B1128" s="457">
        <v>1094</v>
      </c>
      <c r="C1128" s="18">
        <f t="shared" si="56"/>
        <v>18.233333333333334</v>
      </c>
      <c r="D1128" s="18">
        <f t="shared" si="57"/>
        <v>21.858905972433565</v>
      </c>
      <c r="E1128" s="18">
        <f t="shared" si="58"/>
        <v>36.358372557415365</v>
      </c>
    </row>
    <row r="1129" spans="2:5" x14ac:dyDescent="0.3">
      <c r="B1129" s="457">
        <v>1095</v>
      </c>
      <c r="C1129" s="18">
        <f t="shared" si="56"/>
        <v>18.25</v>
      </c>
      <c r="D1129" s="18">
        <f t="shared" si="57"/>
        <v>21.858905972608142</v>
      </c>
      <c r="E1129" s="18">
        <f t="shared" si="58"/>
        <v>36.358372558951636</v>
      </c>
    </row>
    <row r="1130" spans="2:5" x14ac:dyDescent="0.3">
      <c r="B1130" s="457">
        <v>1096</v>
      </c>
      <c r="C1130" s="18">
        <f t="shared" si="56"/>
        <v>18.266666666666666</v>
      </c>
      <c r="D1130" s="18">
        <f t="shared" si="57"/>
        <v>21.858905972779706</v>
      </c>
      <c r="E1130" s="18">
        <f t="shared" si="58"/>
        <v>36.358372560461419</v>
      </c>
    </row>
    <row r="1131" spans="2:5" x14ac:dyDescent="0.3">
      <c r="B1131" s="457">
        <v>1097</v>
      </c>
      <c r="C1131" s="18">
        <f t="shared" si="56"/>
        <v>18.283333333333335</v>
      </c>
      <c r="D1131" s="18">
        <f t="shared" si="57"/>
        <v>21.858905972948314</v>
      </c>
      <c r="E1131" s="18">
        <f t="shared" si="58"/>
        <v>36.358372561945174</v>
      </c>
    </row>
    <row r="1132" spans="2:5" x14ac:dyDescent="0.3">
      <c r="B1132" s="457">
        <v>1098</v>
      </c>
      <c r="C1132" s="18">
        <f t="shared" si="56"/>
        <v>18.3</v>
      </c>
      <c r="D1132" s="18">
        <f t="shared" si="57"/>
        <v>21.858905973114016</v>
      </c>
      <c r="E1132" s="18">
        <f t="shared" si="58"/>
        <v>36.358372563403336</v>
      </c>
    </row>
    <row r="1133" spans="2:5" x14ac:dyDescent="0.3">
      <c r="B1133" s="457">
        <v>1099</v>
      </c>
      <c r="C1133" s="18">
        <f t="shared" si="56"/>
        <v>18.316666666666666</v>
      </c>
      <c r="D1133" s="18">
        <f t="shared" si="57"/>
        <v>21.858905973276858</v>
      </c>
      <c r="E1133" s="18">
        <f t="shared" si="58"/>
        <v>36.358372564836358</v>
      </c>
    </row>
    <row r="1134" spans="2:5" x14ac:dyDescent="0.3">
      <c r="B1134" s="457">
        <v>1100</v>
      </c>
      <c r="C1134" s="18">
        <f t="shared" si="56"/>
        <v>18.333333333333332</v>
      </c>
      <c r="D1134" s="18">
        <f t="shared" si="57"/>
        <v>21.858905973436894</v>
      </c>
      <c r="E1134" s="18">
        <f t="shared" si="58"/>
        <v>36.358372566244668</v>
      </c>
    </row>
    <row r="1135" spans="2:5" x14ac:dyDescent="0.3">
      <c r="B1135" s="457">
        <v>1101</v>
      </c>
      <c r="C1135" s="18">
        <f t="shared" si="56"/>
        <v>18.350000000000001</v>
      </c>
      <c r="D1135" s="18">
        <f t="shared" si="57"/>
        <v>21.858905973594169</v>
      </c>
      <c r="E1135" s="18">
        <f t="shared" si="58"/>
        <v>36.358372567628706</v>
      </c>
    </row>
    <row r="1136" spans="2:5" x14ac:dyDescent="0.3">
      <c r="B1136" s="457">
        <v>1102</v>
      </c>
      <c r="C1136" s="18">
        <f t="shared" si="56"/>
        <v>18.366666666666667</v>
      </c>
      <c r="D1136" s="18">
        <f t="shared" si="57"/>
        <v>21.858905973748733</v>
      </c>
      <c r="E1136" s="18">
        <f t="shared" si="58"/>
        <v>36.358372568988869</v>
      </c>
    </row>
    <row r="1137" spans="2:5" x14ac:dyDescent="0.3">
      <c r="B1137" s="457">
        <v>1103</v>
      </c>
      <c r="C1137" s="18">
        <f t="shared" si="56"/>
        <v>18.383333333333333</v>
      </c>
      <c r="D1137" s="18">
        <f t="shared" si="57"/>
        <v>21.858905973900633</v>
      </c>
      <c r="E1137" s="18">
        <f t="shared" si="58"/>
        <v>36.358372570325585</v>
      </c>
    </row>
    <row r="1138" spans="2:5" x14ac:dyDescent="0.3">
      <c r="B1138" s="457">
        <v>1104</v>
      </c>
      <c r="C1138" s="18">
        <f t="shared" si="56"/>
        <v>18.399999999999999</v>
      </c>
      <c r="D1138" s="18">
        <f t="shared" si="57"/>
        <v>21.858905974049915</v>
      </c>
      <c r="E1138" s="18">
        <f t="shared" si="58"/>
        <v>36.358372571639244</v>
      </c>
    </row>
    <row r="1139" spans="2:5" x14ac:dyDescent="0.3">
      <c r="B1139" s="457">
        <v>1105</v>
      </c>
      <c r="C1139" s="18">
        <f t="shared" si="56"/>
        <v>18.416666666666668</v>
      </c>
      <c r="D1139" s="18">
        <f t="shared" si="57"/>
        <v>21.85890597419662</v>
      </c>
      <c r="E1139" s="18">
        <f t="shared" si="58"/>
        <v>36.358372572930257</v>
      </c>
    </row>
    <row r="1140" spans="2:5" x14ac:dyDescent="0.3">
      <c r="B1140" s="457">
        <v>1106</v>
      </c>
      <c r="C1140" s="18">
        <f t="shared" si="56"/>
        <v>18.433333333333334</v>
      </c>
      <c r="D1140" s="18">
        <f t="shared" si="57"/>
        <v>21.858905974340797</v>
      </c>
      <c r="E1140" s="18">
        <f t="shared" si="58"/>
        <v>36.358372574199009</v>
      </c>
    </row>
    <row r="1141" spans="2:5" x14ac:dyDescent="0.3">
      <c r="B1141" s="457">
        <v>1107</v>
      </c>
      <c r="C1141" s="18">
        <f t="shared" si="56"/>
        <v>18.45</v>
      </c>
      <c r="D1141" s="18">
        <f t="shared" si="57"/>
        <v>21.858905974482486</v>
      </c>
      <c r="E1141" s="18">
        <f t="shared" si="58"/>
        <v>36.358372575445884</v>
      </c>
    </row>
    <row r="1142" spans="2:5" x14ac:dyDescent="0.3">
      <c r="B1142" s="457">
        <v>1108</v>
      </c>
      <c r="C1142" s="18">
        <f t="shared" si="56"/>
        <v>18.466666666666665</v>
      </c>
      <c r="D1142" s="18">
        <f t="shared" si="57"/>
        <v>21.858905974621734</v>
      </c>
      <c r="E1142" s="18">
        <f t="shared" si="58"/>
        <v>36.358372576671258</v>
      </c>
    </row>
    <row r="1143" spans="2:5" x14ac:dyDescent="0.3">
      <c r="B1143" s="457">
        <v>1109</v>
      </c>
      <c r="C1143" s="18">
        <f t="shared" si="56"/>
        <v>18.483333333333334</v>
      </c>
      <c r="D1143" s="18">
        <f t="shared" si="57"/>
        <v>21.858905974758578</v>
      </c>
      <c r="E1143" s="18">
        <f t="shared" si="58"/>
        <v>36.3583725778755</v>
      </c>
    </row>
    <row r="1144" spans="2:5" x14ac:dyDescent="0.3">
      <c r="B1144" s="457">
        <v>1110</v>
      </c>
      <c r="C1144" s="18">
        <f t="shared" si="56"/>
        <v>18.5</v>
      </c>
      <c r="D1144" s="18">
        <f t="shared" si="57"/>
        <v>21.858905974893066</v>
      </c>
      <c r="E1144" s="18">
        <f t="shared" si="58"/>
        <v>36.35837257905898</v>
      </c>
    </row>
    <row r="1145" spans="2:5" x14ac:dyDescent="0.3">
      <c r="B1145" s="457">
        <v>1111</v>
      </c>
      <c r="C1145" s="18">
        <f t="shared" si="56"/>
        <v>18.516666666666666</v>
      </c>
      <c r="D1145" s="18">
        <f t="shared" si="57"/>
        <v>21.858905975025234</v>
      </c>
      <c r="E1145" s="18">
        <f t="shared" si="58"/>
        <v>36.358372580222053</v>
      </c>
    </row>
    <row r="1146" spans="2:5" x14ac:dyDescent="0.3">
      <c r="B1146" s="457">
        <v>1112</v>
      </c>
      <c r="C1146" s="18">
        <f t="shared" si="56"/>
        <v>18.533333333333335</v>
      </c>
      <c r="D1146" s="18">
        <f t="shared" si="57"/>
        <v>21.858905975155121</v>
      </c>
      <c r="E1146" s="18">
        <f t="shared" si="58"/>
        <v>36.358372581365074</v>
      </c>
    </row>
    <row r="1147" spans="2:5" x14ac:dyDescent="0.3">
      <c r="B1147" s="457">
        <v>1113</v>
      </c>
      <c r="C1147" s="18">
        <f t="shared" si="56"/>
        <v>18.55</v>
      </c>
      <c r="D1147" s="18">
        <f t="shared" si="57"/>
        <v>21.85890597528277</v>
      </c>
      <c r="E1147" s="18">
        <f t="shared" si="58"/>
        <v>36.358372582488386</v>
      </c>
    </row>
    <row r="1148" spans="2:5" x14ac:dyDescent="0.3">
      <c r="B1148" s="457">
        <v>1114</v>
      </c>
      <c r="C1148" s="18">
        <f t="shared" si="56"/>
        <v>18.566666666666666</v>
      </c>
      <c r="D1148" s="18">
        <f t="shared" si="57"/>
        <v>21.85890597540822</v>
      </c>
      <c r="E1148" s="18">
        <f t="shared" si="58"/>
        <v>36.358372583592327</v>
      </c>
    </row>
    <row r="1149" spans="2:5" x14ac:dyDescent="0.3">
      <c r="B1149" s="457">
        <v>1115</v>
      </c>
      <c r="C1149" s="18">
        <f t="shared" si="56"/>
        <v>18.583333333333332</v>
      </c>
      <c r="D1149" s="18">
        <f t="shared" si="57"/>
        <v>21.858905975531503</v>
      </c>
      <c r="E1149" s="18">
        <f t="shared" si="58"/>
        <v>36.358372584677227</v>
      </c>
    </row>
    <row r="1150" spans="2:5" x14ac:dyDescent="0.3">
      <c r="B1150" s="457">
        <v>1116</v>
      </c>
      <c r="C1150" s="18">
        <f t="shared" si="56"/>
        <v>18.600000000000001</v>
      </c>
      <c r="D1150" s="18">
        <f t="shared" si="57"/>
        <v>21.858905975652661</v>
      </c>
      <c r="E1150" s="18">
        <f t="shared" si="58"/>
        <v>36.358372585743425</v>
      </c>
    </row>
    <row r="1151" spans="2:5" x14ac:dyDescent="0.3">
      <c r="B1151" s="457">
        <v>1117</v>
      </c>
      <c r="C1151" s="18">
        <f t="shared" si="56"/>
        <v>18.616666666666667</v>
      </c>
      <c r="D1151" s="18">
        <f t="shared" si="57"/>
        <v>21.858905975771734</v>
      </c>
      <c r="E1151" s="18">
        <f t="shared" si="58"/>
        <v>36.358372586791248</v>
      </c>
    </row>
    <row r="1152" spans="2:5" x14ac:dyDescent="0.3">
      <c r="B1152" s="457">
        <v>1118</v>
      </c>
      <c r="C1152" s="18">
        <f t="shared" si="56"/>
        <v>18.633333333333333</v>
      </c>
      <c r="D1152" s="18">
        <f t="shared" si="57"/>
        <v>21.858905975888749</v>
      </c>
      <c r="E1152" s="18">
        <f t="shared" si="58"/>
        <v>36.358372587820995</v>
      </c>
    </row>
    <row r="1153" spans="2:5" x14ac:dyDescent="0.3">
      <c r="B1153" s="457">
        <v>1119</v>
      </c>
      <c r="C1153" s="18">
        <f t="shared" si="56"/>
        <v>18.649999999999999</v>
      </c>
      <c r="D1153" s="18">
        <f t="shared" si="57"/>
        <v>21.858905976003747</v>
      </c>
      <c r="E1153" s="18">
        <f t="shared" si="58"/>
        <v>36.358372588832978</v>
      </c>
    </row>
    <row r="1154" spans="2:5" x14ac:dyDescent="0.3">
      <c r="B1154" s="457">
        <v>1120</v>
      </c>
      <c r="C1154" s="18">
        <f t="shared" si="56"/>
        <v>18.666666666666668</v>
      </c>
      <c r="D1154" s="18">
        <f t="shared" si="57"/>
        <v>21.858905976116763</v>
      </c>
      <c r="E1154" s="18">
        <f t="shared" si="58"/>
        <v>36.358372589827525</v>
      </c>
    </row>
    <row r="1155" spans="2:5" x14ac:dyDescent="0.3">
      <c r="B1155" s="457">
        <v>1121</v>
      </c>
      <c r="C1155" s="18">
        <f t="shared" si="56"/>
        <v>18.683333333333334</v>
      </c>
      <c r="D1155" s="18">
        <f t="shared" si="57"/>
        <v>21.858905976227831</v>
      </c>
      <c r="E1155" s="18">
        <f t="shared" si="58"/>
        <v>36.358372590804919</v>
      </c>
    </row>
    <row r="1156" spans="2:5" x14ac:dyDescent="0.3">
      <c r="B1156" s="457">
        <v>1122</v>
      </c>
      <c r="C1156" s="18">
        <f t="shared" si="56"/>
        <v>18.7</v>
      </c>
      <c r="D1156" s="18">
        <f t="shared" si="57"/>
        <v>21.858905976336985</v>
      </c>
      <c r="E1156" s="18">
        <f t="shared" si="58"/>
        <v>36.358372591765459</v>
      </c>
    </row>
    <row r="1157" spans="2:5" x14ac:dyDescent="0.3">
      <c r="B1157" s="457">
        <v>1123</v>
      </c>
      <c r="C1157" s="18">
        <f t="shared" si="56"/>
        <v>18.716666666666665</v>
      </c>
      <c r="D1157" s="18">
        <f t="shared" si="57"/>
        <v>21.858905976444255</v>
      </c>
      <c r="E1157" s="18">
        <f t="shared" si="58"/>
        <v>36.358372592709429</v>
      </c>
    </row>
    <row r="1158" spans="2:5" x14ac:dyDescent="0.3">
      <c r="B1158" s="457">
        <v>1124</v>
      </c>
      <c r="C1158" s="18">
        <f t="shared" si="56"/>
        <v>18.733333333333334</v>
      </c>
      <c r="D1158" s="18">
        <f t="shared" si="57"/>
        <v>21.858905976549675</v>
      </c>
      <c r="E1158" s="18">
        <f t="shared" si="58"/>
        <v>36.358372593637128</v>
      </c>
    </row>
    <row r="1159" spans="2:5" x14ac:dyDescent="0.3">
      <c r="B1159" s="457">
        <v>1125</v>
      </c>
      <c r="C1159" s="18">
        <f t="shared" si="56"/>
        <v>18.75</v>
      </c>
      <c r="D1159" s="18">
        <f t="shared" si="57"/>
        <v>21.858905976653276</v>
      </c>
      <c r="E1159" s="18">
        <f t="shared" si="58"/>
        <v>36.35837259454884</v>
      </c>
    </row>
    <row r="1160" spans="2:5" x14ac:dyDescent="0.3">
      <c r="B1160" s="457">
        <v>1126</v>
      </c>
      <c r="C1160" s="18">
        <f t="shared" si="56"/>
        <v>18.766666666666666</v>
      </c>
      <c r="D1160" s="18">
        <f t="shared" si="57"/>
        <v>21.858905976755093</v>
      </c>
      <c r="E1160" s="18">
        <f t="shared" si="58"/>
        <v>36.35837259544482</v>
      </c>
    </row>
    <row r="1161" spans="2:5" x14ac:dyDescent="0.3">
      <c r="B1161" s="457">
        <v>1127</v>
      </c>
      <c r="C1161" s="18">
        <f t="shared" si="56"/>
        <v>18.783333333333335</v>
      </c>
      <c r="D1161" s="18">
        <f t="shared" si="57"/>
        <v>21.858905976855155</v>
      </c>
      <c r="E1161" s="18">
        <f t="shared" si="58"/>
        <v>36.358372596325353</v>
      </c>
    </row>
    <row r="1162" spans="2:5" x14ac:dyDescent="0.3">
      <c r="B1162" s="457">
        <v>1128</v>
      </c>
      <c r="C1162" s="18">
        <f t="shared" si="56"/>
        <v>18.8</v>
      </c>
      <c r="D1162" s="18">
        <f t="shared" si="57"/>
        <v>21.858905976953487</v>
      </c>
      <c r="E1162" s="18">
        <f t="shared" si="58"/>
        <v>36.358372597190709</v>
      </c>
    </row>
    <row r="1163" spans="2:5" x14ac:dyDescent="0.3">
      <c r="B1163" s="457">
        <v>1129</v>
      </c>
      <c r="C1163" s="18">
        <f t="shared" si="56"/>
        <v>18.816666666666666</v>
      </c>
      <c r="D1163" s="18">
        <f t="shared" si="57"/>
        <v>21.858905977050128</v>
      </c>
      <c r="E1163" s="18">
        <f t="shared" si="58"/>
        <v>36.358372598041136</v>
      </c>
    </row>
    <row r="1164" spans="2:5" x14ac:dyDescent="0.3">
      <c r="B1164" s="457">
        <v>1130</v>
      </c>
      <c r="C1164" s="18">
        <f t="shared" si="56"/>
        <v>18.833333333333332</v>
      </c>
      <c r="D1164" s="18">
        <f t="shared" si="57"/>
        <v>21.858905977145103</v>
      </c>
      <c r="E1164" s="18">
        <f t="shared" si="58"/>
        <v>36.358372598876898</v>
      </c>
    </row>
    <row r="1165" spans="2:5" x14ac:dyDescent="0.3">
      <c r="B1165" s="457">
        <v>1131</v>
      </c>
      <c r="C1165" s="18">
        <f t="shared" si="56"/>
        <v>18.850000000000001</v>
      </c>
      <c r="D1165" s="18">
        <f t="shared" si="57"/>
        <v>21.85890597723844</v>
      </c>
      <c r="E1165" s="18">
        <f t="shared" si="58"/>
        <v>36.358372599698257</v>
      </c>
    </row>
    <row r="1166" spans="2:5" x14ac:dyDescent="0.3">
      <c r="B1166" s="457">
        <v>1132</v>
      </c>
      <c r="C1166" s="18">
        <f t="shared" si="56"/>
        <v>18.866666666666667</v>
      </c>
      <c r="D1166" s="18">
        <f t="shared" si="57"/>
        <v>21.858905977330163</v>
      </c>
      <c r="E1166" s="18">
        <f t="shared" si="58"/>
        <v>36.358372600505447</v>
      </c>
    </row>
    <row r="1167" spans="2:5" x14ac:dyDescent="0.3">
      <c r="B1167" s="457">
        <v>1133</v>
      </c>
      <c r="C1167" s="18">
        <f t="shared" si="56"/>
        <v>18.883333333333333</v>
      </c>
      <c r="D1167" s="18">
        <f t="shared" si="57"/>
        <v>21.85890597742031</v>
      </c>
      <c r="E1167" s="18">
        <f t="shared" si="58"/>
        <v>36.358372601298726</v>
      </c>
    </row>
    <row r="1168" spans="2:5" x14ac:dyDescent="0.3">
      <c r="B1168" s="457">
        <v>1134</v>
      </c>
      <c r="C1168" s="18">
        <f t="shared" si="56"/>
        <v>18.899999999999999</v>
      </c>
      <c r="D1168" s="18">
        <f t="shared" si="57"/>
        <v>21.858905977508901</v>
      </c>
      <c r="E1168" s="18">
        <f t="shared" si="58"/>
        <v>36.358372602078319</v>
      </c>
    </row>
    <row r="1169" spans="2:5" x14ac:dyDescent="0.3">
      <c r="B1169" s="457">
        <v>1135</v>
      </c>
      <c r="C1169" s="18">
        <f t="shared" si="56"/>
        <v>18.916666666666668</v>
      </c>
      <c r="D1169" s="18">
        <f t="shared" si="57"/>
        <v>21.858905977595963</v>
      </c>
      <c r="E1169" s="18">
        <f t="shared" si="58"/>
        <v>36.358372602844469</v>
      </c>
    </row>
    <row r="1170" spans="2:5" x14ac:dyDescent="0.3">
      <c r="B1170" s="457">
        <v>1136</v>
      </c>
      <c r="C1170" s="18">
        <f t="shared" si="56"/>
        <v>18.933333333333334</v>
      </c>
      <c r="D1170" s="18">
        <f t="shared" si="57"/>
        <v>21.858905977681523</v>
      </c>
      <c r="E1170" s="18">
        <f t="shared" si="58"/>
        <v>36.358372603597417</v>
      </c>
    </row>
    <row r="1171" spans="2:5" x14ac:dyDescent="0.3">
      <c r="B1171" s="457">
        <v>1137</v>
      </c>
      <c r="C1171" s="18">
        <f t="shared" si="56"/>
        <v>18.95</v>
      </c>
      <c r="D1171" s="18">
        <f t="shared" si="57"/>
        <v>21.858905977765609</v>
      </c>
      <c r="E1171" s="18">
        <f t="shared" si="58"/>
        <v>36.358372604337376</v>
      </c>
    </row>
    <row r="1172" spans="2:5" x14ac:dyDescent="0.3">
      <c r="B1172" s="457">
        <v>1138</v>
      </c>
      <c r="C1172" s="18">
        <f t="shared" si="56"/>
        <v>18.966666666666665</v>
      </c>
      <c r="D1172" s="18">
        <f t="shared" si="57"/>
        <v>21.858905977848245</v>
      </c>
      <c r="E1172" s="18">
        <f t="shared" si="58"/>
        <v>36.358372605064574</v>
      </c>
    </row>
    <row r="1173" spans="2:5" x14ac:dyDescent="0.3">
      <c r="B1173" s="457">
        <v>1139</v>
      </c>
      <c r="C1173" s="18">
        <f t="shared" si="56"/>
        <v>18.983333333333334</v>
      </c>
      <c r="D1173" s="18">
        <f t="shared" si="57"/>
        <v>21.858905977929457</v>
      </c>
      <c r="E1173" s="18">
        <f t="shared" si="58"/>
        <v>36.358372605779238</v>
      </c>
    </row>
    <row r="1174" spans="2:5" x14ac:dyDescent="0.3">
      <c r="B1174" s="457">
        <v>1140</v>
      </c>
      <c r="C1174" s="18">
        <f t="shared" si="56"/>
        <v>19</v>
      </c>
      <c r="D1174" s="18">
        <f t="shared" si="57"/>
        <v>21.858905978009268</v>
      </c>
      <c r="E1174" s="18">
        <f t="shared" si="58"/>
        <v>36.358372606481566</v>
      </c>
    </row>
    <row r="1175" spans="2:5" x14ac:dyDescent="0.3">
      <c r="B1175" s="457">
        <v>1141</v>
      </c>
      <c r="C1175" s="18">
        <f t="shared" si="56"/>
        <v>19.016666666666666</v>
      </c>
      <c r="D1175" s="18">
        <f t="shared" si="57"/>
        <v>21.858905978087705</v>
      </c>
      <c r="E1175" s="18">
        <f t="shared" si="58"/>
        <v>36.358372607171802</v>
      </c>
    </row>
    <row r="1176" spans="2:5" x14ac:dyDescent="0.3">
      <c r="B1176" s="457">
        <v>1142</v>
      </c>
      <c r="C1176" s="18">
        <f t="shared" si="56"/>
        <v>19.033333333333335</v>
      </c>
      <c r="D1176" s="18">
        <f t="shared" si="57"/>
        <v>21.858905978164788</v>
      </c>
      <c r="E1176" s="18">
        <f t="shared" si="58"/>
        <v>36.358372607850129</v>
      </c>
    </row>
    <row r="1177" spans="2:5" x14ac:dyDescent="0.3">
      <c r="B1177" s="457">
        <v>1143</v>
      </c>
      <c r="C1177" s="18">
        <f t="shared" si="56"/>
        <v>19.05</v>
      </c>
      <c r="D1177" s="18">
        <f t="shared" si="57"/>
        <v>21.858905978240539</v>
      </c>
      <c r="E1177" s="18">
        <f t="shared" si="58"/>
        <v>36.35837260851676</v>
      </c>
    </row>
    <row r="1178" spans="2:5" x14ac:dyDescent="0.3">
      <c r="B1178" s="457">
        <v>1144</v>
      </c>
      <c r="C1178" s="18">
        <f t="shared" si="56"/>
        <v>19.066666666666666</v>
      </c>
      <c r="D1178" s="18">
        <f t="shared" si="57"/>
        <v>21.858905978314986</v>
      </c>
      <c r="E1178" s="18">
        <f t="shared" si="58"/>
        <v>36.358372609171894</v>
      </c>
    </row>
    <row r="1179" spans="2:5" x14ac:dyDescent="0.3">
      <c r="B1179" s="457">
        <v>1145</v>
      </c>
      <c r="C1179" s="18">
        <f t="shared" si="56"/>
        <v>19.083333333333332</v>
      </c>
      <c r="D1179" s="18">
        <f t="shared" si="57"/>
        <v>21.858905978388151</v>
      </c>
      <c r="E1179" s="18">
        <f t="shared" si="58"/>
        <v>36.358372609815731</v>
      </c>
    </row>
    <row r="1180" spans="2:5" x14ac:dyDescent="0.3">
      <c r="B1180" s="457">
        <v>1146</v>
      </c>
      <c r="C1180" s="18">
        <f t="shared" si="56"/>
        <v>19.100000000000001</v>
      </c>
      <c r="D1180" s="18">
        <f t="shared" si="57"/>
        <v>21.858905978460054</v>
      </c>
      <c r="E1180" s="18">
        <f t="shared" si="58"/>
        <v>36.35837261044847</v>
      </c>
    </row>
    <row r="1181" spans="2:5" x14ac:dyDescent="0.3">
      <c r="B1181" s="457">
        <v>1147</v>
      </c>
      <c r="C1181" s="18">
        <f t="shared" si="56"/>
        <v>19.116666666666667</v>
      </c>
      <c r="D1181" s="18">
        <f t="shared" si="57"/>
        <v>21.858905978530714</v>
      </c>
      <c r="E1181" s="18">
        <f t="shared" si="58"/>
        <v>36.358372611070294</v>
      </c>
    </row>
    <row r="1182" spans="2:5" x14ac:dyDescent="0.3">
      <c r="B1182" s="457">
        <v>1148</v>
      </c>
      <c r="C1182" s="18">
        <f t="shared" si="56"/>
        <v>19.133333333333333</v>
      </c>
      <c r="D1182" s="18">
        <f t="shared" si="57"/>
        <v>21.858905978600159</v>
      </c>
      <c r="E1182" s="18">
        <f t="shared" si="58"/>
        <v>36.358372611681403</v>
      </c>
    </row>
    <row r="1183" spans="2:5" x14ac:dyDescent="0.3">
      <c r="B1183" s="457">
        <v>1149</v>
      </c>
      <c r="C1183" s="18">
        <f t="shared" si="56"/>
        <v>19.149999999999999</v>
      </c>
      <c r="D1183" s="18">
        <f t="shared" si="57"/>
        <v>21.858905978668407</v>
      </c>
      <c r="E1183" s="18">
        <f t="shared" si="58"/>
        <v>36.358372612281968</v>
      </c>
    </row>
    <row r="1184" spans="2:5" x14ac:dyDescent="0.3">
      <c r="B1184" s="457">
        <v>1150</v>
      </c>
      <c r="C1184" s="18">
        <f t="shared" si="56"/>
        <v>19.166666666666668</v>
      </c>
      <c r="D1184" s="18">
        <f t="shared" si="57"/>
        <v>21.858905978735475</v>
      </c>
      <c r="E1184" s="18">
        <f t="shared" si="58"/>
        <v>36.358372612872181</v>
      </c>
    </row>
    <row r="1185" spans="2:5" x14ac:dyDescent="0.3">
      <c r="B1185" s="457">
        <v>1151</v>
      </c>
      <c r="C1185" s="18">
        <f t="shared" si="56"/>
        <v>19.183333333333334</v>
      </c>
      <c r="D1185" s="18">
        <f t="shared" si="57"/>
        <v>21.858905978801388</v>
      </c>
      <c r="E1185" s="18">
        <f t="shared" si="58"/>
        <v>36.358372613452218</v>
      </c>
    </row>
    <row r="1186" spans="2:5" x14ac:dyDescent="0.3">
      <c r="B1186" s="457">
        <v>1152</v>
      </c>
      <c r="C1186" s="18">
        <f t="shared" si="56"/>
        <v>19.2</v>
      </c>
      <c r="D1186" s="18">
        <f t="shared" si="57"/>
        <v>21.858905978866165</v>
      </c>
      <c r="E1186" s="18">
        <f t="shared" si="58"/>
        <v>36.358372614022244</v>
      </c>
    </row>
    <row r="1187" spans="2:5" x14ac:dyDescent="0.3">
      <c r="B1187" s="457">
        <v>1153</v>
      </c>
      <c r="C1187" s="18">
        <f t="shared" si="56"/>
        <v>19.216666666666665</v>
      </c>
      <c r="D1187" s="18">
        <f t="shared" si="57"/>
        <v>21.858905978929823</v>
      </c>
      <c r="E1187" s="18">
        <f t="shared" si="58"/>
        <v>36.35837261458245</v>
      </c>
    </row>
    <row r="1188" spans="2:5" x14ac:dyDescent="0.3">
      <c r="B1188" s="457">
        <v>1154</v>
      </c>
      <c r="C1188" s="18">
        <f t="shared" ref="C1188:C1251" si="59">B1188/60</f>
        <v>19.233333333333334</v>
      </c>
      <c r="D1188" s="18">
        <f t="shared" ref="D1188:D1251" si="60">$I$32+$G$27/$A$32/$D$32*(1-EXP(-B1188/($G$32*$H$32/$A$32/$D$32)))</f>
        <v>21.858905978992386</v>
      </c>
      <c r="E1188" s="18">
        <f t="shared" ref="E1188:E1251" si="61">$I$32+$G$27/$A$32/$E$32*(1-EXP(-B1188/($G$32*$H$32/$A$32/$D$32)))</f>
        <v>36.358372615133</v>
      </c>
    </row>
    <row r="1189" spans="2:5" x14ac:dyDescent="0.3">
      <c r="B1189" s="457">
        <v>1155</v>
      </c>
      <c r="C1189" s="18">
        <f t="shared" si="59"/>
        <v>19.25</v>
      </c>
      <c r="D1189" s="18">
        <f t="shared" si="60"/>
        <v>21.858905979053869</v>
      </c>
      <c r="E1189" s="18">
        <f t="shared" si="61"/>
        <v>36.35837261567405</v>
      </c>
    </row>
    <row r="1190" spans="2:5" x14ac:dyDescent="0.3">
      <c r="B1190" s="457">
        <v>1156</v>
      </c>
      <c r="C1190" s="18">
        <f t="shared" si="59"/>
        <v>19.266666666666666</v>
      </c>
      <c r="D1190" s="18">
        <f t="shared" si="60"/>
        <v>21.858905979114294</v>
      </c>
      <c r="E1190" s="18">
        <f t="shared" si="61"/>
        <v>36.35837261620577</v>
      </c>
    </row>
    <row r="1191" spans="2:5" x14ac:dyDescent="0.3">
      <c r="B1191" s="457">
        <v>1157</v>
      </c>
      <c r="C1191" s="18">
        <f t="shared" si="59"/>
        <v>19.283333333333335</v>
      </c>
      <c r="D1191" s="18">
        <f t="shared" si="60"/>
        <v>21.858905979173674</v>
      </c>
      <c r="E1191" s="18">
        <f t="shared" si="61"/>
        <v>36.358372616728332</v>
      </c>
    </row>
    <row r="1192" spans="2:5" x14ac:dyDescent="0.3">
      <c r="B1192" s="457">
        <v>1158</v>
      </c>
      <c r="C1192" s="18">
        <f t="shared" si="59"/>
        <v>19.3</v>
      </c>
      <c r="D1192" s="18">
        <f t="shared" si="60"/>
        <v>21.858905979232031</v>
      </c>
      <c r="E1192" s="18">
        <f t="shared" si="61"/>
        <v>36.358372617241869</v>
      </c>
    </row>
    <row r="1193" spans="2:5" x14ac:dyDescent="0.3">
      <c r="B1193" s="457">
        <v>1159</v>
      </c>
      <c r="C1193" s="18">
        <f t="shared" si="59"/>
        <v>19.316666666666666</v>
      </c>
      <c r="D1193" s="18">
        <f t="shared" si="60"/>
        <v>21.858905979289382</v>
      </c>
      <c r="E1193" s="18">
        <f t="shared" si="61"/>
        <v>36.358372617746561</v>
      </c>
    </row>
    <row r="1194" spans="2:5" x14ac:dyDescent="0.3">
      <c r="B1194" s="457">
        <v>1160</v>
      </c>
      <c r="C1194" s="18">
        <f t="shared" si="59"/>
        <v>19.333333333333332</v>
      </c>
      <c r="D1194" s="18">
        <f t="shared" si="60"/>
        <v>21.858905979345742</v>
      </c>
      <c r="E1194" s="18">
        <f t="shared" si="61"/>
        <v>36.358372618242548</v>
      </c>
    </row>
    <row r="1195" spans="2:5" x14ac:dyDescent="0.3">
      <c r="B1195" s="457">
        <v>1161</v>
      </c>
      <c r="C1195" s="18">
        <f t="shared" si="59"/>
        <v>19.350000000000001</v>
      </c>
      <c r="D1195" s="18">
        <f t="shared" si="60"/>
        <v>21.858905979401133</v>
      </c>
      <c r="E1195" s="18">
        <f t="shared" si="61"/>
        <v>36.35837261872998</v>
      </c>
    </row>
    <row r="1196" spans="2:5" x14ac:dyDescent="0.3">
      <c r="B1196" s="457">
        <v>1162</v>
      </c>
      <c r="C1196" s="18">
        <f t="shared" si="59"/>
        <v>19.366666666666667</v>
      </c>
      <c r="D1196" s="18">
        <f t="shared" si="60"/>
        <v>21.858905979455571</v>
      </c>
      <c r="E1196" s="18">
        <f t="shared" si="61"/>
        <v>36.358372619209007</v>
      </c>
    </row>
    <row r="1197" spans="2:5" x14ac:dyDescent="0.3">
      <c r="B1197" s="457">
        <v>1163</v>
      </c>
      <c r="C1197" s="18">
        <f t="shared" si="59"/>
        <v>19.383333333333333</v>
      </c>
      <c r="D1197" s="18">
        <f t="shared" si="60"/>
        <v>21.858905979509068</v>
      </c>
      <c r="E1197" s="18">
        <f t="shared" si="61"/>
        <v>36.358372619679784</v>
      </c>
    </row>
    <row r="1198" spans="2:5" x14ac:dyDescent="0.3">
      <c r="B1198" s="457">
        <v>1164</v>
      </c>
      <c r="C1198" s="18">
        <f t="shared" si="59"/>
        <v>19.399999999999999</v>
      </c>
      <c r="D1198" s="18">
        <f t="shared" si="60"/>
        <v>21.858905979561641</v>
      </c>
      <c r="E1198" s="18">
        <f t="shared" si="61"/>
        <v>36.358372620142433</v>
      </c>
    </row>
    <row r="1199" spans="2:5" x14ac:dyDescent="0.3">
      <c r="B1199" s="457">
        <v>1165</v>
      </c>
      <c r="C1199" s="18">
        <f t="shared" si="59"/>
        <v>19.416666666666668</v>
      </c>
      <c r="D1199" s="18">
        <f t="shared" si="60"/>
        <v>21.858905979613308</v>
      </c>
      <c r="E1199" s="18">
        <f t="shared" si="61"/>
        <v>36.358372620597109</v>
      </c>
    </row>
    <row r="1200" spans="2:5" x14ac:dyDescent="0.3">
      <c r="B1200" s="457">
        <v>1166</v>
      </c>
      <c r="C1200" s="18">
        <f t="shared" si="59"/>
        <v>19.433333333333334</v>
      </c>
      <c r="D1200" s="18">
        <f t="shared" si="60"/>
        <v>21.858905979664083</v>
      </c>
      <c r="E1200" s="18">
        <f t="shared" si="61"/>
        <v>36.358372621043941</v>
      </c>
    </row>
    <row r="1201" spans="2:5" x14ac:dyDescent="0.3">
      <c r="B1201" s="457">
        <v>1167</v>
      </c>
      <c r="C1201" s="18">
        <f t="shared" si="59"/>
        <v>19.45</v>
      </c>
      <c r="D1201" s="18">
        <f t="shared" si="60"/>
        <v>21.858905979713985</v>
      </c>
      <c r="E1201" s="18">
        <f t="shared" si="61"/>
        <v>36.35837262148307</v>
      </c>
    </row>
    <row r="1202" spans="2:5" x14ac:dyDescent="0.3">
      <c r="B1202" s="457">
        <v>1168</v>
      </c>
      <c r="C1202" s="18">
        <f t="shared" si="59"/>
        <v>19.466666666666665</v>
      </c>
      <c r="D1202" s="18">
        <f t="shared" si="60"/>
        <v>21.858905979763026</v>
      </c>
      <c r="E1202" s="18">
        <f t="shared" si="61"/>
        <v>36.358372621914626</v>
      </c>
    </row>
    <row r="1203" spans="2:5" x14ac:dyDescent="0.3">
      <c r="B1203" s="457">
        <v>1169</v>
      </c>
      <c r="C1203" s="18">
        <f t="shared" si="59"/>
        <v>19.483333333333334</v>
      </c>
      <c r="D1203" s="18">
        <f t="shared" si="60"/>
        <v>21.858905979811222</v>
      </c>
      <c r="E1203" s="18">
        <f t="shared" si="61"/>
        <v>36.358372622338749</v>
      </c>
    </row>
    <row r="1204" spans="2:5" x14ac:dyDescent="0.3">
      <c r="B1204" s="457">
        <v>1170</v>
      </c>
      <c r="C1204" s="18">
        <f t="shared" si="59"/>
        <v>19.5</v>
      </c>
      <c r="D1204" s="18">
        <f t="shared" si="60"/>
        <v>21.858905979858584</v>
      </c>
      <c r="E1204" s="18">
        <f t="shared" si="61"/>
        <v>36.358372622755553</v>
      </c>
    </row>
    <row r="1205" spans="2:5" x14ac:dyDescent="0.3">
      <c r="B1205" s="457">
        <v>1171</v>
      </c>
      <c r="C1205" s="18">
        <f t="shared" si="59"/>
        <v>19.516666666666666</v>
      </c>
      <c r="D1205" s="18">
        <f t="shared" si="60"/>
        <v>21.858905979905131</v>
      </c>
      <c r="E1205" s="18">
        <f t="shared" si="61"/>
        <v>36.358372623165167</v>
      </c>
    </row>
    <row r="1206" spans="2:5" x14ac:dyDescent="0.3">
      <c r="B1206" s="457">
        <v>1172</v>
      </c>
      <c r="C1206" s="18">
        <f t="shared" si="59"/>
        <v>19.533333333333335</v>
      </c>
      <c r="D1206" s="18">
        <f t="shared" si="60"/>
        <v>21.858905979950876</v>
      </c>
      <c r="E1206" s="18">
        <f t="shared" si="61"/>
        <v>36.358372623567718</v>
      </c>
    </row>
    <row r="1207" spans="2:5" x14ac:dyDescent="0.3">
      <c r="B1207" s="457">
        <v>1173</v>
      </c>
      <c r="C1207" s="18">
        <f t="shared" si="59"/>
        <v>19.55</v>
      </c>
      <c r="D1207" s="18">
        <f t="shared" si="60"/>
        <v>21.858905979995832</v>
      </c>
      <c r="E1207" s="18">
        <f t="shared" si="61"/>
        <v>36.358372623963334</v>
      </c>
    </row>
    <row r="1208" spans="2:5" x14ac:dyDescent="0.3">
      <c r="B1208" s="457">
        <v>1174</v>
      </c>
      <c r="C1208" s="18">
        <f t="shared" si="59"/>
        <v>19.566666666666666</v>
      </c>
      <c r="D1208" s="18">
        <f t="shared" si="60"/>
        <v>21.858905980040014</v>
      </c>
      <c r="E1208" s="18">
        <f t="shared" si="61"/>
        <v>36.358372624352128</v>
      </c>
    </row>
    <row r="1209" spans="2:5" x14ac:dyDescent="0.3">
      <c r="B1209" s="457">
        <v>1175</v>
      </c>
      <c r="C1209" s="18">
        <f t="shared" si="59"/>
        <v>19.583333333333332</v>
      </c>
      <c r="D1209" s="18">
        <f t="shared" si="60"/>
        <v>21.858905980083435</v>
      </c>
      <c r="E1209" s="18">
        <f t="shared" si="61"/>
        <v>36.358372624734216</v>
      </c>
    </row>
    <row r="1210" spans="2:5" x14ac:dyDescent="0.3">
      <c r="B1210" s="457">
        <v>1176</v>
      </c>
      <c r="C1210" s="18">
        <f t="shared" si="59"/>
        <v>19.600000000000001</v>
      </c>
      <c r="D1210" s="18">
        <f t="shared" si="60"/>
        <v>21.858905980126103</v>
      </c>
      <c r="E1210" s="18">
        <f t="shared" si="61"/>
        <v>36.358372625109709</v>
      </c>
    </row>
    <row r="1211" spans="2:5" x14ac:dyDescent="0.3">
      <c r="B1211" s="457">
        <v>1177</v>
      </c>
      <c r="C1211" s="18">
        <f t="shared" si="59"/>
        <v>19.616666666666667</v>
      </c>
      <c r="D1211" s="18">
        <f t="shared" si="60"/>
        <v>21.858905980168039</v>
      </c>
      <c r="E1211" s="18">
        <f t="shared" si="61"/>
        <v>36.358372625478736</v>
      </c>
    </row>
    <row r="1212" spans="2:5" x14ac:dyDescent="0.3">
      <c r="B1212" s="457">
        <v>1178</v>
      </c>
      <c r="C1212" s="18">
        <f t="shared" si="59"/>
        <v>19.633333333333333</v>
      </c>
      <c r="D1212" s="18">
        <f t="shared" si="60"/>
        <v>21.858905980209251</v>
      </c>
      <c r="E1212" s="18">
        <f t="shared" si="61"/>
        <v>36.358372625841398</v>
      </c>
    </row>
    <row r="1213" spans="2:5" x14ac:dyDescent="0.3">
      <c r="B1213" s="457">
        <v>1179</v>
      </c>
      <c r="C1213" s="18">
        <f t="shared" si="59"/>
        <v>19.649999999999999</v>
      </c>
      <c r="D1213" s="18">
        <f t="shared" si="60"/>
        <v>21.858905980249752</v>
      </c>
      <c r="E1213" s="18">
        <f t="shared" si="61"/>
        <v>36.358372626197806</v>
      </c>
    </row>
    <row r="1214" spans="2:5" x14ac:dyDescent="0.3">
      <c r="B1214" s="457">
        <v>1180</v>
      </c>
      <c r="C1214" s="18">
        <f t="shared" si="59"/>
        <v>19.666666666666668</v>
      </c>
      <c r="D1214" s="18">
        <f t="shared" si="60"/>
        <v>21.858905980289553</v>
      </c>
      <c r="E1214" s="18">
        <f t="shared" si="61"/>
        <v>36.358372626548068</v>
      </c>
    </row>
    <row r="1215" spans="2:5" x14ac:dyDescent="0.3">
      <c r="B1215" s="457">
        <v>1181</v>
      </c>
      <c r="C1215" s="18">
        <f t="shared" si="59"/>
        <v>19.683333333333334</v>
      </c>
      <c r="D1215" s="18">
        <f t="shared" si="60"/>
        <v>21.858905980328668</v>
      </c>
      <c r="E1215" s="18">
        <f t="shared" si="61"/>
        <v>36.35837262689229</v>
      </c>
    </row>
    <row r="1216" spans="2:5" x14ac:dyDescent="0.3">
      <c r="B1216" s="457">
        <v>1182</v>
      </c>
      <c r="C1216" s="18">
        <f t="shared" si="59"/>
        <v>19.7</v>
      </c>
      <c r="D1216" s="18">
        <f t="shared" si="60"/>
        <v>21.858905980367112</v>
      </c>
      <c r="E1216" s="18">
        <f t="shared" si="61"/>
        <v>36.35837262723058</v>
      </c>
    </row>
    <row r="1217" spans="2:5" x14ac:dyDescent="0.3">
      <c r="B1217" s="457">
        <v>1183</v>
      </c>
      <c r="C1217" s="18">
        <f t="shared" si="59"/>
        <v>19.716666666666665</v>
      </c>
      <c r="D1217" s="18">
        <f t="shared" si="60"/>
        <v>21.858905980404892</v>
      </c>
      <c r="E1217" s="18">
        <f t="shared" si="61"/>
        <v>36.358372627563028</v>
      </c>
    </row>
    <row r="1218" spans="2:5" x14ac:dyDescent="0.3">
      <c r="B1218" s="457">
        <v>1184</v>
      </c>
      <c r="C1218" s="18">
        <f t="shared" si="59"/>
        <v>19.733333333333334</v>
      </c>
      <c r="D1218" s="18">
        <f t="shared" si="60"/>
        <v>21.858905980442017</v>
      </c>
      <c r="E1218" s="18">
        <f t="shared" si="61"/>
        <v>36.35837262788975</v>
      </c>
    </row>
    <row r="1219" spans="2:5" x14ac:dyDescent="0.3">
      <c r="B1219" s="457">
        <v>1185</v>
      </c>
      <c r="C1219" s="18">
        <f t="shared" si="59"/>
        <v>19.75</v>
      </c>
      <c r="D1219" s="18">
        <f t="shared" si="60"/>
        <v>21.858905980478504</v>
      </c>
      <c r="E1219" s="18">
        <f t="shared" si="61"/>
        <v>36.358372628210844</v>
      </c>
    </row>
    <row r="1220" spans="2:5" x14ac:dyDescent="0.3">
      <c r="B1220" s="457">
        <v>1186</v>
      </c>
      <c r="C1220" s="18">
        <f t="shared" si="59"/>
        <v>19.766666666666666</v>
      </c>
      <c r="D1220" s="18">
        <f t="shared" si="60"/>
        <v>21.858905980514361</v>
      </c>
      <c r="E1220" s="18">
        <f t="shared" si="61"/>
        <v>36.358372628526396</v>
      </c>
    </row>
    <row r="1221" spans="2:5" x14ac:dyDescent="0.3">
      <c r="B1221" s="457">
        <v>1187</v>
      </c>
      <c r="C1221" s="18">
        <f t="shared" si="59"/>
        <v>19.783333333333335</v>
      </c>
      <c r="D1221" s="18">
        <f t="shared" si="60"/>
        <v>21.858905980549604</v>
      </c>
      <c r="E1221" s="18">
        <f t="shared" si="61"/>
        <v>36.358372628836506</v>
      </c>
    </row>
    <row r="1222" spans="2:5" x14ac:dyDescent="0.3">
      <c r="B1222" s="457">
        <v>1188</v>
      </c>
      <c r="C1222" s="18">
        <f t="shared" si="59"/>
        <v>19.8</v>
      </c>
      <c r="D1222" s="18">
        <f t="shared" si="60"/>
        <v>21.858905980584236</v>
      </c>
      <c r="E1222" s="18">
        <f t="shared" si="61"/>
        <v>36.358372629141272</v>
      </c>
    </row>
    <row r="1223" spans="2:5" x14ac:dyDescent="0.3">
      <c r="B1223" s="457">
        <v>1189</v>
      </c>
      <c r="C1223" s="18">
        <f t="shared" si="59"/>
        <v>19.816666666666666</v>
      </c>
      <c r="D1223" s="18">
        <f t="shared" si="60"/>
        <v>21.858905980618271</v>
      </c>
      <c r="E1223" s="18">
        <f t="shared" si="61"/>
        <v>36.35837262944078</v>
      </c>
    </row>
    <row r="1224" spans="2:5" x14ac:dyDescent="0.3">
      <c r="B1224" s="457">
        <v>1190</v>
      </c>
      <c r="C1224" s="18">
        <f t="shared" si="59"/>
        <v>19.833333333333332</v>
      </c>
      <c r="D1224" s="18">
        <f t="shared" si="60"/>
        <v>21.85890598065172</v>
      </c>
      <c r="E1224" s="18">
        <f t="shared" si="61"/>
        <v>36.358372629735122</v>
      </c>
    </row>
    <row r="1225" spans="2:5" x14ac:dyDescent="0.3">
      <c r="B1225" s="457">
        <v>1191</v>
      </c>
      <c r="C1225" s="18">
        <f t="shared" si="59"/>
        <v>19.850000000000001</v>
      </c>
      <c r="D1225" s="18">
        <f t="shared" si="60"/>
        <v>21.85890598068459</v>
      </c>
      <c r="E1225" s="18">
        <f t="shared" si="61"/>
        <v>36.358372630024391</v>
      </c>
    </row>
    <row r="1226" spans="2:5" x14ac:dyDescent="0.3">
      <c r="B1226" s="457">
        <v>1192</v>
      </c>
      <c r="C1226" s="18">
        <f t="shared" si="59"/>
        <v>19.866666666666667</v>
      </c>
      <c r="D1226" s="18">
        <f t="shared" si="60"/>
        <v>21.858905980716894</v>
      </c>
      <c r="E1226" s="18">
        <f t="shared" si="61"/>
        <v>36.358372630308672</v>
      </c>
    </row>
    <row r="1227" spans="2:5" x14ac:dyDescent="0.3">
      <c r="B1227" s="457">
        <v>1193</v>
      </c>
      <c r="C1227" s="18">
        <f t="shared" si="59"/>
        <v>19.883333333333333</v>
      </c>
      <c r="D1227" s="18">
        <f t="shared" si="60"/>
        <v>21.858905980748641</v>
      </c>
      <c r="E1227" s="18">
        <f t="shared" si="61"/>
        <v>36.35837263058805</v>
      </c>
    </row>
    <row r="1228" spans="2:5" x14ac:dyDescent="0.3">
      <c r="B1228" s="457">
        <v>1194</v>
      </c>
      <c r="C1228" s="18">
        <f t="shared" si="59"/>
        <v>19.899999999999999</v>
      </c>
      <c r="D1228" s="18">
        <f t="shared" si="60"/>
        <v>21.858905980779841</v>
      </c>
      <c r="E1228" s="18">
        <f t="shared" si="61"/>
        <v>36.358372630862611</v>
      </c>
    </row>
    <row r="1229" spans="2:5" x14ac:dyDescent="0.3">
      <c r="B1229" s="457">
        <v>1195</v>
      </c>
      <c r="C1229" s="18">
        <f t="shared" si="59"/>
        <v>19.916666666666668</v>
      </c>
      <c r="D1229" s="18">
        <f t="shared" si="60"/>
        <v>21.858905980810505</v>
      </c>
      <c r="E1229" s="18">
        <f t="shared" si="61"/>
        <v>36.35837263113244</v>
      </c>
    </row>
    <row r="1230" spans="2:5" x14ac:dyDescent="0.3">
      <c r="B1230" s="457">
        <v>1196</v>
      </c>
      <c r="C1230" s="18">
        <f t="shared" si="59"/>
        <v>19.933333333333334</v>
      </c>
      <c r="D1230" s="18">
        <f t="shared" si="60"/>
        <v>21.858905980840639</v>
      </c>
      <c r="E1230" s="18">
        <f t="shared" si="61"/>
        <v>36.358372631397614</v>
      </c>
    </row>
    <row r="1231" spans="2:5" x14ac:dyDescent="0.3">
      <c r="B1231" s="457">
        <v>1197</v>
      </c>
      <c r="C1231" s="18">
        <f t="shared" si="59"/>
        <v>19.95</v>
      </c>
      <c r="D1231" s="18">
        <f t="shared" si="60"/>
        <v>21.858905980870251</v>
      </c>
      <c r="E1231" s="18">
        <f t="shared" si="61"/>
        <v>36.358372631658213</v>
      </c>
    </row>
    <row r="1232" spans="2:5" x14ac:dyDescent="0.3">
      <c r="B1232" s="457">
        <v>1198</v>
      </c>
      <c r="C1232" s="18">
        <f t="shared" si="59"/>
        <v>19.966666666666665</v>
      </c>
      <c r="D1232" s="18">
        <f t="shared" si="60"/>
        <v>21.858905980899355</v>
      </c>
      <c r="E1232" s="18">
        <f t="shared" si="61"/>
        <v>36.358372631914321</v>
      </c>
    </row>
    <row r="1233" spans="2:5" x14ac:dyDescent="0.3">
      <c r="B1233" s="457">
        <v>1199</v>
      </c>
      <c r="C1233" s="18">
        <f t="shared" si="59"/>
        <v>19.983333333333334</v>
      </c>
      <c r="D1233" s="18">
        <f t="shared" si="60"/>
        <v>21.858905980927958</v>
      </c>
      <c r="E1233" s="18">
        <f t="shared" si="61"/>
        <v>36.358372632166017</v>
      </c>
    </row>
    <row r="1234" spans="2:5" x14ac:dyDescent="0.3">
      <c r="B1234" s="457">
        <v>1200</v>
      </c>
      <c r="C1234" s="18">
        <f t="shared" si="59"/>
        <v>20</v>
      </c>
      <c r="D1234" s="18">
        <f t="shared" si="60"/>
        <v>21.858905980956063</v>
      </c>
      <c r="E1234" s="18">
        <f t="shared" si="61"/>
        <v>36.358372632413371</v>
      </c>
    </row>
    <row r="1235" spans="2:5" x14ac:dyDescent="0.3">
      <c r="B1235" s="457">
        <v>1201</v>
      </c>
      <c r="C1235" s="18">
        <f t="shared" si="59"/>
        <v>20.016666666666666</v>
      </c>
      <c r="D1235" s="18">
        <f t="shared" si="60"/>
        <v>21.858905980983689</v>
      </c>
      <c r="E1235" s="18">
        <f t="shared" si="61"/>
        <v>36.358372632656454</v>
      </c>
    </row>
    <row r="1236" spans="2:5" x14ac:dyDescent="0.3">
      <c r="B1236" s="457">
        <v>1202</v>
      </c>
      <c r="C1236" s="18">
        <f t="shared" si="59"/>
        <v>20.033333333333335</v>
      </c>
      <c r="D1236" s="18">
        <f t="shared" si="60"/>
        <v>21.858905981010835</v>
      </c>
      <c r="E1236" s="18">
        <f t="shared" si="61"/>
        <v>36.358372632895353</v>
      </c>
    </row>
    <row r="1237" spans="2:5" x14ac:dyDescent="0.3">
      <c r="B1237" s="457">
        <v>1203</v>
      </c>
      <c r="C1237" s="18">
        <f t="shared" si="59"/>
        <v>20.05</v>
      </c>
      <c r="D1237" s="18">
        <f t="shared" si="60"/>
        <v>21.858905981037516</v>
      </c>
      <c r="E1237" s="18">
        <f t="shared" si="61"/>
        <v>36.358372633130131</v>
      </c>
    </row>
    <row r="1238" spans="2:5" x14ac:dyDescent="0.3">
      <c r="B1238" s="457">
        <v>1204</v>
      </c>
      <c r="C1238" s="18">
        <f t="shared" si="59"/>
        <v>20.066666666666666</v>
      </c>
      <c r="D1238" s="18">
        <f t="shared" si="60"/>
        <v>21.858905981063735</v>
      </c>
      <c r="E1238" s="18">
        <f t="shared" si="61"/>
        <v>36.358372633360858</v>
      </c>
    </row>
    <row r="1239" spans="2:5" x14ac:dyDescent="0.3">
      <c r="B1239" s="457">
        <v>1205</v>
      </c>
      <c r="C1239" s="18">
        <f t="shared" si="59"/>
        <v>20.083333333333332</v>
      </c>
      <c r="D1239" s="18">
        <f t="shared" si="60"/>
        <v>21.858905981089499</v>
      </c>
      <c r="E1239" s="18">
        <f t="shared" si="61"/>
        <v>36.358372633587607</v>
      </c>
    </row>
    <row r="1240" spans="2:5" x14ac:dyDescent="0.3">
      <c r="B1240" s="457">
        <v>1206</v>
      </c>
      <c r="C1240" s="18">
        <f t="shared" si="59"/>
        <v>20.100000000000001</v>
      </c>
      <c r="D1240" s="18">
        <f t="shared" si="60"/>
        <v>21.858905981114823</v>
      </c>
      <c r="E1240" s="18">
        <f t="shared" si="61"/>
        <v>36.358372633810447</v>
      </c>
    </row>
    <row r="1241" spans="2:5" x14ac:dyDescent="0.3">
      <c r="B1241" s="457">
        <v>1207</v>
      </c>
      <c r="C1241" s="18">
        <f t="shared" si="59"/>
        <v>20.116666666666667</v>
      </c>
      <c r="D1241" s="18">
        <f t="shared" si="60"/>
        <v>21.85890598113971</v>
      </c>
      <c r="E1241" s="18">
        <f t="shared" si="61"/>
        <v>36.35837263402945</v>
      </c>
    </row>
    <row r="1242" spans="2:5" x14ac:dyDescent="0.3">
      <c r="B1242" s="457">
        <v>1208</v>
      </c>
      <c r="C1242" s="18">
        <f t="shared" si="59"/>
        <v>20.133333333333333</v>
      </c>
      <c r="D1242" s="18">
        <f t="shared" si="60"/>
        <v>21.858905981164167</v>
      </c>
      <c r="E1242" s="18">
        <f t="shared" si="61"/>
        <v>36.358372634244674</v>
      </c>
    </row>
    <row r="1243" spans="2:5" x14ac:dyDescent="0.3">
      <c r="B1243" s="457">
        <v>1209</v>
      </c>
      <c r="C1243" s="18">
        <f t="shared" si="59"/>
        <v>20.149999999999999</v>
      </c>
      <c r="D1243" s="18">
        <f t="shared" si="60"/>
        <v>21.858905981188201</v>
      </c>
      <c r="E1243" s="18">
        <f t="shared" si="61"/>
        <v>36.358372634456181</v>
      </c>
    </row>
    <row r="1244" spans="2:5" x14ac:dyDescent="0.3">
      <c r="B1244" s="457">
        <v>1210</v>
      </c>
      <c r="C1244" s="18">
        <f t="shared" si="59"/>
        <v>20.166666666666668</v>
      </c>
      <c r="D1244" s="18">
        <f t="shared" si="60"/>
        <v>21.858905981211823</v>
      </c>
      <c r="E1244" s="18">
        <f t="shared" si="61"/>
        <v>36.35837263466405</v>
      </c>
    </row>
    <row r="1245" spans="2:5" x14ac:dyDescent="0.3">
      <c r="B1245" s="457">
        <v>1211</v>
      </c>
      <c r="C1245" s="18">
        <f t="shared" si="59"/>
        <v>20.183333333333334</v>
      </c>
      <c r="D1245" s="18">
        <f t="shared" si="60"/>
        <v>21.858905981235036</v>
      </c>
      <c r="E1245" s="18">
        <f t="shared" si="61"/>
        <v>36.358372634868324</v>
      </c>
    </row>
    <row r="1246" spans="2:5" x14ac:dyDescent="0.3">
      <c r="B1246" s="457">
        <v>1212</v>
      </c>
      <c r="C1246" s="18">
        <f t="shared" si="59"/>
        <v>20.2</v>
      </c>
      <c r="D1246" s="18">
        <f t="shared" si="60"/>
        <v>21.858905981257848</v>
      </c>
      <c r="E1246" s="18">
        <f t="shared" si="61"/>
        <v>36.358372635069081</v>
      </c>
    </row>
    <row r="1247" spans="2:5" x14ac:dyDescent="0.3">
      <c r="B1247" s="457">
        <v>1213</v>
      </c>
      <c r="C1247" s="18">
        <f t="shared" si="59"/>
        <v>20.216666666666665</v>
      </c>
      <c r="D1247" s="18">
        <f t="shared" si="60"/>
        <v>21.85890598128027</v>
      </c>
      <c r="E1247" s="18">
        <f t="shared" si="61"/>
        <v>36.358372635266377</v>
      </c>
    </row>
    <row r="1248" spans="2:5" x14ac:dyDescent="0.3">
      <c r="B1248" s="457">
        <v>1214</v>
      </c>
      <c r="C1248" s="18">
        <f t="shared" si="59"/>
        <v>20.233333333333334</v>
      </c>
      <c r="D1248" s="18">
        <f t="shared" si="60"/>
        <v>21.858905981302303</v>
      </c>
      <c r="E1248" s="18">
        <f t="shared" si="61"/>
        <v>36.35837263546027</v>
      </c>
    </row>
    <row r="1249" spans="2:5" x14ac:dyDescent="0.3">
      <c r="B1249" s="457">
        <v>1215</v>
      </c>
      <c r="C1249" s="18">
        <f t="shared" si="59"/>
        <v>20.25</v>
      </c>
      <c r="D1249" s="18">
        <f t="shared" si="60"/>
        <v>21.858905981323957</v>
      </c>
      <c r="E1249" s="18">
        <f t="shared" si="61"/>
        <v>36.358372635650824</v>
      </c>
    </row>
    <row r="1250" spans="2:5" x14ac:dyDescent="0.3">
      <c r="B1250" s="457">
        <v>1216</v>
      </c>
      <c r="C1250" s="18">
        <f t="shared" si="59"/>
        <v>20.266666666666666</v>
      </c>
      <c r="D1250" s="18">
        <f t="shared" si="60"/>
        <v>21.858905981345238</v>
      </c>
      <c r="E1250" s="18">
        <f t="shared" si="61"/>
        <v>36.358372635838087</v>
      </c>
    </row>
    <row r="1251" spans="2:5" x14ac:dyDescent="0.3">
      <c r="B1251" s="457">
        <v>1217</v>
      </c>
      <c r="C1251" s="18">
        <f t="shared" si="59"/>
        <v>20.283333333333335</v>
      </c>
      <c r="D1251" s="18">
        <f t="shared" si="60"/>
        <v>21.858905981366149</v>
      </c>
      <c r="E1251" s="18">
        <f t="shared" si="61"/>
        <v>36.358372636022125</v>
      </c>
    </row>
    <row r="1252" spans="2:5" x14ac:dyDescent="0.3">
      <c r="B1252" s="457">
        <v>1218</v>
      </c>
      <c r="C1252" s="18">
        <f t="shared" ref="C1252" si="62">B1252/60</f>
        <v>20.3</v>
      </c>
      <c r="D1252" s="18">
        <f t="shared" ref="D1252" si="63">$I$32+$G$27/$A$32/$D$32*(1-EXP(-B1252/($G$32*$H$32/$A$32/$D$32)))</f>
        <v>21.858905981386702</v>
      </c>
      <c r="E1252" s="18">
        <f t="shared" ref="E1252" si="64">$I$32+$G$27/$A$32/$E$32*(1-EXP(-B1252/($G$32*$H$32/$A$32/$D$32)))</f>
        <v>36.358372636202986</v>
      </c>
    </row>
  </sheetData>
  <mergeCells count="8">
    <mergeCell ref="A32:B32"/>
    <mergeCell ref="E8:F8"/>
    <mergeCell ref="D30:E30"/>
    <mergeCell ref="D31:E31"/>
    <mergeCell ref="B1:H1"/>
    <mergeCell ref="A31:B31"/>
    <mergeCell ref="A30:B30"/>
    <mergeCell ref="A25:H25"/>
  </mergeCells>
  <pageMargins left="0.7" right="0.7" top="0.75" bottom="0.75" header="0.3" footer="0.3"/>
  <pageSetup paperSize="9" orientation="portrait" horizontalDpi="4294967293" verticalDpi="4294967293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47770-5A9A-4579-8622-D3A49B39BA1C}">
  <sheetPr>
    <tabColor rgb="FF7030A0"/>
  </sheetPr>
  <dimension ref="A1:M21"/>
  <sheetViews>
    <sheetView zoomScaleNormal="100" workbookViewId="0">
      <selection activeCell="D22" sqref="D22"/>
    </sheetView>
  </sheetViews>
  <sheetFormatPr defaultRowHeight="14.4" x14ac:dyDescent="0.3"/>
  <cols>
    <col min="1" max="1" width="8.21875" style="497" customWidth="1"/>
    <col min="2" max="2" width="8.109375" bestFit="1" customWidth="1"/>
    <col min="3" max="3" width="23.44140625" customWidth="1"/>
    <col min="4" max="4" width="9" customWidth="1"/>
    <col min="5" max="5" width="23.88671875" bestFit="1" customWidth="1"/>
    <col min="6" max="6" width="12.5546875" style="497" bestFit="1" customWidth="1"/>
    <col min="7" max="7" width="14.109375" style="497" bestFit="1" customWidth="1"/>
    <col min="8" max="8" width="16.6640625" bestFit="1" customWidth="1"/>
    <col min="9" max="9" width="14.109375" bestFit="1" customWidth="1"/>
    <col min="10" max="10" width="7.33203125" bestFit="1" customWidth="1"/>
    <col min="11" max="11" width="6.44140625" style="497" customWidth="1"/>
    <col min="12" max="12" width="23.88671875" bestFit="1" customWidth="1"/>
    <col min="13" max="13" width="12.5546875" bestFit="1" customWidth="1"/>
    <col min="14" max="14" width="8.44140625" bestFit="1" customWidth="1"/>
  </cols>
  <sheetData>
    <row r="1" spans="1:12" ht="14.4" customHeight="1" x14ac:dyDescent="0.3">
      <c r="B1" s="501" t="s">
        <v>502</v>
      </c>
      <c r="C1" s="501" t="s">
        <v>503</v>
      </c>
      <c r="D1" s="501" t="s">
        <v>504</v>
      </c>
      <c r="E1" s="501" t="s">
        <v>513</v>
      </c>
      <c r="F1" s="501" t="s">
        <v>507</v>
      </c>
      <c r="G1" s="501" t="s">
        <v>512</v>
      </c>
      <c r="H1" s="498" t="s">
        <v>486</v>
      </c>
      <c r="I1" s="500" t="s">
        <v>511</v>
      </c>
      <c r="L1" s="501" t="s">
        <v>509</v>
      </c>
    </row>
    <row r="2" spans="1:12" ht="14.4" customHeight="1" x14ac:dyDescent="0.3">
      <c r="B2" s="499">
        <v>1</v>
      </c>
      <c r="C2" s="504" t="s">
        <v>475</v>
      </c>
      <c r="D2" s="511"/>
      <c r="E2" s="505" t="s">
        <v>487</v>
      </c>
      <c r="F2" s="513">
        <f t="shared" ref="F2:F14" si="0">L2/10^9</f>
        <v>1.6431999999999999E-2</v>
      </c>
      <c r="G2" s="509">
        <f>F2*$I$2*B2</f>
        <v>129.31984</v>
      </c>
      <c r="H2" s="752" t="s">
        <v>510</v>
      </c>
      <c r="I2" s="752">
        <f>7870</f>
        <v>7870</v>
      </c>
      <c r="L2" s="501">
        <f>790*520*40</f>
        <v>16432000</v>
      </c>
    </row>
    <row r="3" spans="1:12" ht="14.4" customHeight="1" x14ac:dyDescent="0.3">
      <c r="B3" s="506">
        <v>1</v>
      </c>
      <c r="C3" s="507" t="s">
        <v>476</v>
      </c>
      <c r="D3" s="512"/>
      <c r="E3" s="508" t="s">
        <v>488</v>
      </c>
      <c r="F3" s="514">
        <f t="shared" si="0"/>
        <v>1.4725E-2</v>
      </c>
      <c r="G3" s="510">
        <f>F3*$I$2*B3</f>
        <v>115.88575</v>
      </c>
      <c r="H3" s="753"/>
      <c r="I3" s="753"/>
      <c r="L3" s="501">
        <f>310*250*190</f>
        <v>14725000</v>
      </c>
    </row>
    <row r="4" spans="1:12" ht="14.4" customHeight="1" x14ac:dyDescent="0.3">
      <c r="B4" s="499">
        <v>1</v>
      </c>
      <c r="C4" s="504" t="s">
        <v>477</v>
      </c>
      <c r="D4" s="511"/>
      <c r="E4" s="505" t="s">
        <v>508</v>
      </c>
      <c r="F4" s="513">
        <f t="shared" si="0"/>
        <v>9.3600000000000003E-3</v>
      </c>
      <c r="G4" s="509">
        <f>F4*$I$2*B4</f>
        <v>73.663200000000003</v>
      </c>
      <c r="H4" s="753"/>
      <c r="I4" s="753"/>
      <c r="L4" s="501">
        <f>260*240*150</f>
        <v>9360000</v>
      </c>
    </row>
    <row r="5" spans="1:12" ht="14.4" customHeight="1" x14ac:dyDescent="0.3">
      <c r="B5" s="506">
        <v>1</v>
      </c>
      <c r="C5" s="507" t="s">
        <v>478</v>
      </c>
      <c r="D5" s="512"/>
      <c r="E5" s="508" t="s">
        <v>489</v>
      </c>
      <c r="F5" s="514">
        <f t="shared" si="0"/>
        <v>8.652E-4</v>
      </c>
      <c r="G5" s="510">
        <f>F5*$I$2*B5</f>
        <v>6.8091239999999997</v>
      </c>
      <c r="H5" s="753"/>
      <c r="I5" s="753"/>
      <c r="L5" s="501">
        <f>103*120*70</f>
        <v>865200</v>
      </c>
    </row>
    <row r="6" spans="1:12" ht="14.4" customHeight="1" x14ac:dyDescent="0.3">
      <c r="B6" s="752">
        <v>1</v>
      </c>
      <c r="C6" s="749" t="s">
        <v>479</v>
      </c>
      <c r="D6" s="511" t="s">
        <v>490</v>
      </c>
      <c r="E6" s="505" t="s">
        <v>493</v>
      </c>
      <c r="F6" s="513">
        <f t="shared" si="0"/>
        <v>8.8200000000000003E-5</v>
      </c>
      <c r="G6" s="509">
        <f>F6*$I$2*B6</f>
        <v>0.69413400000000003</v>
      </c>
      <c r="H6" s="753"/>
      <c r="I6" s="753"/>
      <c r="L6" s="501">
        <f>4*210*105</f>
        <v>88200</v>
      </c>
    </row>
    <row r="7" spans="1:12" ht="14.4" customHeight="1" x14ac:dyDescent="0.3">
      <c r="B7" s="753"/>
      <c r="C7" s="750"/>
      <c r="D7" s="512" t="s">
        <v>491</v>
      </c>
      <c r="E7" s="508" t="s">
        <v>494</v>
      </c>
      <c r="F7" s="514">
        <f t="shared" si="0"/>
        <v>2.2049999999999999E-4</v>
      </c>
      <c r="G7" s="510">
        <f>F7*$I$2*B6</f>
        <v>1.7353349999999998</v>
      </c>
      <c r="H7" s="753"/>
      <c r="I7" s="753"/>
      <c r="L7" s="501">
        <f>10*210*105</f>
        <v>220500</v>
      </c>
    </row>
    <row r="8" spans="1:12" ht="14.4" customHeight="1" x14ac:dyDescent="0.3">
      <c r="B8" s="754"/>
      <c r="C8" s="751"/>
      <c r="D8" s="511" t="s">
        <v>492</v>
      </c>
      <c r="E8" s="505" t="s">
        <v>495</v>
      </c>
      <c r="F8" s="513">
        <f t="shared" si="0"/>
        <v>3.5280000000000001E-4</v>
      </c>
      <c r="G8" s="509">
        <f>F8*$I$2*B6</f>
        <v>2.7765360000000001</v>
      </c>
      <c r="H8" s="753"/>
      <c r="I8" s="753"/>
      <c r="L8" s="501">
        <f>16*210*105</f>
        <v>352800</v>
      </c>
    </row>
    <row r="9" spans="1:12" s="497" customFormat="1" ht="14.4" customHeight="1" x14ac:dyDescent="0.3">
      <c r="B9" s="506">
        <v>4</v>
      </c>
      <c r="C9" s="507" t="s">
        <v>480</v>
      </c>
      <c r="D9" s="512"/>
      <c r="E9" s="508" t="s">
        <v>496</v>
      </c>
      <c r="F9" s="514">
        <f t="shared" si="0"/>
        <v>1.6200000000000001E-4</v>
      </c>
      <c r="G9" s="510">
        <f>F9*$I$2*B9</f>
        <v>5.0997599999999998</v>
      </c>
      <c r="H9" s="753"/>
      <c r="I9" s="753"/>
      <c r="L9" s="501">
        <f>90*30*60</f>
        <v>162000</v>
      </c>
    </row>
    <row r="10" spans="1:12" s="497" customFormat="1" ht="14.4" customHeight="1" x14ac:dyDescent="0.3">
      <c r="B10" s="499">
        <v>1</v>
      </c>
      <c r="C10" s="504" t="s">
        <v>481</v>
      </c>
      <c r="D10" s="511"/>
      <c r="E10" s="505" t="s">
        <v>497</v>
      </c>
      <c r="F10" s="513">
        <f t="shared" si="0"/>
        <v>6.0000000000000002E-6</v>
      </c>
      <c r="G10" s="509">
        <f>F10*$I$2*B10</f>
        <v>4.7219999999999998E-2</v>
      </c>
      <c r="H10" s="753"/>
      <c r="I10" s="753"/>
      <c r="L10" s="501">
        <f>100*60*1</f>
        <v>6000</v>
      </c>
    </row>
    <row r="11" spans="1:12" ht="14.4" customHeight="1" x14ac:dyDescent="0.3">
      <c r="B11" s="506">
        <v>1</v>
      </c>
      <c r="C11" s="507" t="s">
        <v>482</v>
      </c>
      <c r="D11" s="512"/>
      <c r="E11" s="508" t="s">
        <v>498</v>
      </c>
      <c r="F11" s="514">
        <f t="shared" si="0"/>
        <v>4.6410000000000002E-3</v>
      </c>
      <c r="G11" s="510">
        <f>F11*$I$2*B11</f>
        <v>36.52467</v>
      </c>
      <c r="H11" s="753"/>
      <c r="I11" s="753"/>
      <c r="L11" s="501">
        <f>210*170*130</f>
        <v>4641000</v>
      </c>
    </row>
    <row r="12" spans="1:12" ht="14.4" customHeight="1" x14ac:dyDescent="0.3">
      <c r="B12" s="499">
        <v>6</v>
      </c>
      <c r="C12" s="504" t="s">
        <v>485</v>
      </c>
      <c r="D12" s="511"/>
      <c r="E12" s="505" t="s">
        <v>501</v>
      </c>
      <c r="F12" s="513">
        <f t="shared" si="0"/>
        <v>3.1808625617596652E-5</v>
      </c>
      <c r="G12" s="509">
        <f>F12*$I$2*B12</f>
        <v>1.502003301662914</v>
      </c>
      <c r="H12" s="754"/>
      <c r="I12" s="753"/>
      <c r="L12" s="502">
        <f>PI()*15^2*45</f>
        <v>31808.625617596656</v>
      </c>
    </row>
    <row r="13" spans="1:12" ht="14.4" customHeight="1" x14ac:dyDescent="0.3">
      <c r="B13" s="506">
        <v>3</v>
      </c>
      <c r="C13" s="507" t="s">
        <v>484</v>
      </c>
      <c r="D13" s="512"/>
      <c r="E13" s="508" t="s">
        <v>500</v>
      </c>
      <c r="F13" s="514">
        <f t="shared" si="0"/>
        <v>5.9322910721965462E-4</v>
      </c>
      <c r="G13" s="510">
        <f>F13*$I$13*B13</f>
        <v>12.991717448110437</v>
      </c>
      <c r="H13" s="755" t="s">
        <v>505</v>
      </c>
      <c r="I13" s="755">
        <v>7300</v>
      </c>
      <c r="L13" s="502">
        <f>PI()*(54.85^2-35.03^2)*106</f>
        <v>593229.1072196546</v>
      </c>
    </row>
    <row r="14" spans="1:12" ht="14.4" customHeight="1" x14ac:dyDescent="0.3">
      <c r="B14" s="499">
        <v>3</v>
      </c>
      <c r="C14" s="504" t="s">
        <v>483</v>
      </c>
      <c r="D14" s="511"/>
      <c r="E14" s="505" t="s">
        <v>499</v>
      </c>
      <c r="F14" s="513">
        <f t="shared" si="0"/>
        <v>3.5565810005861197E-4</v>
      </c>
      <c r="G14" s="509">
        <f>F14*$I$13*B14</f>
        <v>7.7889123912836027</v>
      </c>
      <c r="H14" s="756"/>
      <c r="I14" s="756"/>
      <c r="L14" s="502">
        <f>PI()*(47.2^2-28.03^2)*78.5</f>
        <v>355658.10005861195</v>
      </c>
    </row>
    <row r="15" spans="1:12" ht="14.4" customHeight="1" x14ac:dyDescent="0.3">
      <c r="A15" s="5" t="s">
        <v>506</v>
      </c>
      <c r="B15" s="501">
        <f>SUM(B2:B14)+2</f>
        <v>25</v>
      </c>
      <c r="C15" s="5"/>
      <c r="D15" s="5"/>
      <c r="E15" s="5"/>
      <c r="F15" s="5"/>
      <c r="G15" s="243">
        <f>SUM(G2:G14)</f>
        <v>394.83820214105697</v>
      </c>
      <c r="H15" s="5"/>
      <c r="I15" s="5"/>
    </row>
    <row r="19" spans="12:13" x14ac:dyDescent="0.3">
      <c r="L19" s="501"/>
      <c r="M19" s="501"/>
    </row>
    <row r="21" spans="12:13" x14ac:dyDescent="0.3">
      <c r="L21" s="501"/>
    </row>
  </sheetData>
  <mergeCells count="6">
    <mergeCell ref="C6:C8"/>
    <mergeCell ref="B6:B8"/>
    <mergeCell ref="H13:H14"/>
    <mergeCell ref="H2:H12"/>
    <mergeCell ref="I2:I12"/>
    <mergeCell ref="I13:I1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9D8BF-B506-40E2-BA4B-D1A3718DFD20}">
  <dimension ref="D2:N47"/>
  <sheetViews>
    <sheetView workbookViewId="0">
      <selection activeCell="J44" sqref="J44"/>
    </sheetView>
  </sheetViews>
  <sheetFormatPr defaultRowHeight="14.4" x14ac:dyDescent="0.3"/>
  <cols>
    <col min="5" max="5" width="25.21875" bestFit="1" customWidth="1"/>
    <col min="6" max="6" width="4.21875" bestFit="1" customWidth="1"/>
    <col min="7" max="7" width="9.21875" bestFit="1" customWidth="1"/>
    <col min="8" max="8" width="13" style="400" customWidth="1"/>
    <col min="9" max="9" width="8.88671875" style="400"/>
    <col min="10" max="10" width="35" style="400" bestFit="1" customWidth="1"/>
    <col min="13" max="13" width="31.44140625" bestFit="1" customWidth="1"/>
  </cols>
  <sheetData>
    <row r="2" spans="7:14" ht="15.6" x14ac:dyDescent="0.3">
      <c r="H2" s="423" t="s">
        <v>211</v>
      </c>
      <c r="I2" s="422"/>
      <c r="J2" s="422"/>
    </row>
    <row r="3" spans="7:14" s="400" customFormat="1" ht="15.6" x14ac:dyDescent="0.3">
      <c r="H3" s="423"/>
      <c r="I3" s="422"/>
      <c r="J3" s="422"/>
    </row>
    <row r="4" spans="7:14" s="400" customFormat="1" ht="15.6" x14ac:dyDescent="0.3">
      <c r="H4" s="425" t="s">
        <v>13</v>
      </c>
      <c r="I4" s="425" t="s">
        <v>210</v>
      </c>
      <c r="J4" s="425" t="s">
        <v>209</v>
      </c>
    </row>
    <row r="5" spans="7:14" s="125" customFormat="1" ht="16.2" x14ac:dyDescent="0.3">
      <c r="H5" s="416" t="str">
        <f>'3 tasche'!K10</f>
        <v>Av</v>
      </c>
      <c r="I5" s="417" t="s">
        <v>56</v>
      </c>
      <c r="J5" s="418" t="s">
        <v>381</v>
      </c>
    </row>
    <row r="6" spans="7:14" x14ac:dyDescent="0.3">
      <c r="H6" s="416" t="s">
        <v>30</v>
      </c>
      <c r="I6" s="417" t="s">
        <v>3</v>
      </c>
      <c r="J6" s="418" t="s">
        <v>379</v>
      </c>
      <c r="K6" s="27"/>
      <c r="L6" s="126" t="s">
        <v>13</v>
      </c>
      <c r="M6" s="126" t="s">
        <v>209</v>
      </c>
      <c r="N6" s="126" t="s">
        <v>210</v>
      </c>
    </row>
    <row r="7" spans="7:14" x14ac:dyDescent="0.3">
      <c r="H7" s="413" t="str">
        <f>'3 tasche'!Y50</f>
        <v>Csq</v>
      </c>
      <c r="I7" s="417" t="str">
        <f>'3 tasche'!AA50</f>
        <v>Ns/μm</v>
      </c>
      <c r="J7" s="418" t="s">
        <v>406</v>
      </c>
      <c r="K7" s="27"/>
      <c r="L7" s="413" t="s">
        <v>30</v>
      </c>
      <c r="M7" s="417" t="s">
        <v>379</v>
      </c>
      <c r="N7" s="418" t="s">
        <v>3</v>
      </c>
    </row>
    <row r="8" spans="7:14" x14ac:dyDescent="0.3">
      <c r="G8" s="174"/>
      <c r="H8" s="413" t="s">
        <v>374</v>
      </c>
      <c r="I8" s="757" t="s">
        <v>3</v>
      </c>
      <c r="J8" s="759" t="s">
        <v>380</v>
      </c>
      <c r="K8" s="27"/>
    </row>
    <row r="9" spans="7:14" x14ac:dyDescent="0.3">
      <c r="H9" s="419" t="s">
        <v>373</v>
      </c>
      <c r="I9" s="758"/>
      <c r="J9" s="760"/>
      <c r="K9" s="27"/>
    </row>
    <row r="10" spans="7:14" x14ac:dyDescent="0.3">
      <c r="H10" s="419" t="s">
        <v>280</v>
      </c>
      <c r="I10" s="417" t="s">
        <v>3</v>
      </c>
      <c r="J10" s="418" t="s">
        <v>282</v>
      </c>
      <c r="K10" s="27"/>
    </row>
    <row r="11" spans="7:14" x14ac:dyDescent="0.3">
      <c r="H11" s="416" t="str">
        <f>'3 tasche'!E4</f>
        <v>Dm</v>
      </c>
      <c r="I11" s="417" t="str">
        <f>'3 tasche'!G4</f>
        <v>mm</v>
      </c>
      <c r="J11" s="418" t="s">
        <v>372</v>
      </c>
      <c r="K11" s="27"/>
    </row>
    <row r="12" spans="7:14" x14ac:dyDescent="0.3">
      <c r="H12" s="416" t="s">
        <v>36</v>
      </c>
      <c r="I12" s="417" t="s">
        <v>3</v>
      </c>
      <c r="J12" s="418" t="s">
        <v>35</v>
      </c>
      <c r="K12" s="27"/>
    </row>
    <row r="13" spans="7:14" x14ac:dyDescent="0.3">
      <c r="H13" s="416" t="s">
        <v>399</v>
      </c>
      <c r="I13" s="417" t="s">
        <v>376</v>
      </c>
      <c r="J13" s="418" t="s">
        <v>400</v>
      </c>
      <c r="K13" s="27"/>
    </row>
    <row r="14" spans="7:14" ht="14.4" customHeight="1" x14ac:dyDescent="0.3">
      <c r="H14" s="416" t="s">
        <v>375</v>
      </c>
      <c r="I14" s="417" t="s">
        <v>376</v>
      </c>
      <c r="J14" s="418" t="s">
        <v>264</v>
      </c>
      <c r="K14" s="27"/>
    </row>
    <row r="15" spans="7:14" x14ac:dyDescent="0.3">
      <c r="H15" s="416" t="s">
        <v>403</v>
      </c>
      <c r="I15" s="417" t="s">
        <v>94</v>
      </c>
      <c r="J15" s="418" t="s">
        <v>404</v>
      </c>
      <c r="K15" s="27"/>
    </row>
    <row r="16" spans="7:14" x14ac:dyDescent="0.3">
      <c r="H16" s="416" t="s">
        <v>90</v>
      </c>
      <c r="I16" s="417" t="s">
        <v>94</v>
      </c>
      <c r="J16" s="418" t="s">
        <v>405</v>
      </c>
      <c r="K16" s="27"/>
    </row>
    <row r="17" spans="4:10" x14ac:dyDescent="0.3">
      <c r="H17" s="416" t="s">
        <v>402</v>
      </c>
      <c r="I17" s="417" t="s">
        <v>94</v>
      </c>
      <c r="J17" s="418" t="s">
        <v>401</v>
      </c>
    </row>
    <row r="18" spans="4:10" s="400" customFormat="1" x14ac:dyDescent="0.3">
      <c r="H18" s="416" t="s">
        <v>31</v>
      </c>
      <c r="I18" s="417" t="s">
        <v>3</v>
      </c>
      <c r="J18" s="418" t="s">
        <v>378</v>
      </c>
    </row>
    <row r="19" spans="4:10" s="400" customFormat="1" x14ac:dyDescent="0.3">
      <c r="H19" s="416" t="s">
        <v>279</v>
      </c>
      <c r="I19" s="417" t="s">
        <v>3</v>
      </c>
      <c r="J19" s="418" t="s">
        <v>281</v>
      </c>
    </row>
    <row r="20" spans="4:10" s="400" customFormat="1" x14ac:dyDescent="0.3">
      <c r="H20" s="416" t="s">
        <v>84</v>
      </c>
      <c r="I20" s="417" t="s">
        <v>5</v>
      </c>
      <c r="J20" s="418" t="s">
        <v>410</v>
      </c>
    </row>
    <row r="21" spans="4:10" s="400" customFormat="1" x14ac:dyDescent="0.3">
      <c r="H21" s="416" t="s">
        <v>75</v>
      </c>
      <c r="I21" s="417" t="s">
        <v>75</v>
      </c>
      <c r="J21" s="418" t="s">
        <v>216</v>
      </c>
    </row>
    <row r="22" spans="4:10" s="400" customFormat="1" x14ac:dyDescent="0.3">
      <c r="H22" s="416" t="s">
        <v>213</v>
      </c>
      <c r="I22" s="417" t="s">
        <v>75</v>
      </c>
      <c r="J22" s="418" t="s">
        <v>215</v>
      </c>
    </row>
    <row r="23" spans="4:10" s="400" customFormat="1" x14ac:dyDescent="0.3">
      <c r="H23" s="416" t="s">
        <v>212</v>
      </c>
      <c r="I23" s="417" t="s">
        <v>75</v>
      </c>
      <c r="J23" s="418" t="s">
        <v>214</v>
      </c>
    </row>
    <row r="24" spans="4:10" s="400" customFormat="1" x14ac:dyDescent="0.3">
      <c r="H24" s="416" t="s">
        <v>271</v>
      </c>
      <c r="I24" s="417" t="s">
        <v>409</v>
      </c>
      <c r="J24" s="418" t="s">
        <v>272</v>
      </c>
    </row>
    <row r="25" spans="4:10" s="400" customFormat="1" x14ac:dyDescent="0.3">
      <c r="H25" s="416" t="s">
        <v>268</v>
      </c>
      <c r="I25" s="417" t="s">
        <v>409</v>
      </c>
      <c r="J25" s="418" t="s">
        <v>270</v>
      </c>
    </row>
    <row r="26" spans="4:10" x14ac:dyDescent="0.3">
      <c r="D26" s="130"/>
      <c r="E26" s="130"/>
      <c r="F26" s="130"/>
      <c r="H26" s="416" t="s">
        <v>274</v>
      </c>
      <c r="I26" s="417" t="s">
        <v>409</v>
      </c>
      <c r="J26" s="418" t="s">
        <v>273</v>
      </c>
    </row>
    <row r="27" spans="4:10" x14ac:dyDescent="0.3">
      <c r="D27" s="399"/>
      <c r="E27" s="399"/>
      <c r="F27" s="399"/>
      <c r="H27" s="416" t="s">
        <v>267</v>
      </c>
      <c r="I27" s="417" t="s">
        <v>409</v>
      </c>
      <c r="J27" s="418" t="s">
        <v>269</v>
      </c>
    </row>
    <row r="28" spans="4:10" x14ac:dyDescent="0.3">
      <c r="D28" s="130"/>
      <c r="E28" s="130"/>
      <c r="F28" s="130"/>
      <c r="H28" s="416" t="s">
        <v>278</v>
      </c>
      <c r="I28" s="417" t="s">
        <v>411</v>
      </c>
      <c r="J28" s="418" t="s">
        <v>275</v>
      </c>
    </row>
    <row r="29" spans="4:10" x14ac:dyDescent="0.3">
      <c r="H29" s="416" t="str">
        <f>'3 tasche'!E5</f>
        <v>Rm</v>
      </c>
      <c r="I29" s="417" t="s">
        <v>3</v>
      </c>
      <c r="J29" s="418" t="s">
        <v>377</v>
      </c>
    </row>
    <row r="30" spans="4:10" x14ac:dyDescent="0.3">
      <c r="H30" s="416" t="s">
        <v>277</v>
      </c>
      <c r="I30" s="417" t="s">
        <v>411</v>
      </c>
      <c r="J30" s="418" t="s">
        <v>276</v>
      </c>
    </row>
    <row r="31" spans="4:10" x14ac:dyDescent="0.3">
      <c r="H31" s="416" t="str">
        <f>'3 tasche'!K9</f>
        <v>rp</v>
      </c>
      <c r="I31" s="417" t="s">
        <v>3</v>
      </c>
      <c r="J31" s="418" t="s">
        <v>204</v>
      </c>
    </row>
    <row r="32" spans="4:10" x14ac:dyDescent="0.3">
      <c r="H32" s="416" t="s">
        <v>9</v>
      </c>
      <c r="I32" s="417" t="s">
        <v>24</v>
      </c>
      <c r="J32" s="418" t="s">
        <v>408</v>
      </c>
    </row>
    <row r="33" spans="4:10" x14ac:dyDescent="0.3">
      <c r="D33" s="399"/>
      <c r="E33" s="399"/>
      <c r="F33" s="399"/>
      <c r="H33" s="416" t="str">
        <f>'3 tasche'!R28</f>
        <v>Wd</v>
      </c>
      <c r="I33" s="417" t="s">
        <v>84</v>
      </c>
      <c r="J33" s="418" t="s">
        <v>220</v>
      </c>
    </row>
    <row r="34" spans="4:10" x14ac:dyDescent="0.3">
      <c r="H34" s="416" t="s">
        <v>382</v>
      </c>
      <c r="I34" s="417" t="s">
        <v>84</v>
      </c>
      <c r="J34" s="418" t="s">
        <v>389</v>
      </c>
    </row>
    <row r="35" spans="4:10" x14ac:dyDescent="0.3">
      <c r="H35" s="416" t="s">
        <v>383</v>
      </c>
      <c r="I35" s="417" t="s">
        <v>84</v>
      </c>
      <c r="J35" s="418" t="s">
        <v>388</v>
      </c>
    </row>
    <row r="36" spans="4:10" x14ac:dyDescent="0.3">
      <c r="H36" s="416" t="s">
        <v>384</v>
      </c>
      <c r="I36" s="417" t="s">
        <v>84</v>
      </c>
      <c r="J36" s="418" t="s">
        <v>387</v>
      </c>
    </row>
    <row r="37" spans="4:10" x14ac:dyDescent="0.3">
      <c r="H37" s="416" t="s">
        <v>385</v>
      </c>
      <c r="I37" s="417" t="s">
        <v>84</v>
      </c>
      <c r="J37" s="418" t="s">
        <v>386</v>
      </c>
    </row>
    <row r="38" spans="4:10" x14ac:dyDescent="0.3">
      <c r="H38" s="416" t="s">
        <v>393</v>
      </c>
      <c r="I38" s="417" t="s">
        <v>84</v>
      </c>
      <c r="J38" s="418" t="s">
        <v>392</v>
      </c>
    </row>
    <row r="39" spans="4:10" x14ac:dyDescent="0.3">
      <c r="H39" s="416" t="s">
        <v>390</v>
      </c>
      <c r="I39" s="417" t="s">
        <v>84</v>
      </c>
      <c r="J39" s="418" t="s">
        <v>391</v>
      </c>
    </row>
    <row r="40" spans="4:10" x14ac:dyDescent="0.3">
      <c r="H40" s="416" t="s">
        <v>394</v>
      </c>
      <c r="I40" s="417" t="s">
        <v>84</v>
      </c>
      <c r="J40" s="418" t="s">
        <v>395</v>
      </c>
    </row>
    <row r="41" spans="4:10" x14ac:dyDescent="0.3">
      <c r="H41" s="416" t="s">
        <v>397</v>
      </c>
      <c r="I41" s="417" t="s">
        <v>84</v>
      </c>
      <c r="J41" s="418" t="s">
        <v>396</v>
      </c>
    </row>
    <row r="42" spans="4:10" x14ac:dyDescent="0.3">
      <c r="H42" s="413" t="s">
        <v>82</v>
      </c>
      <c r="I42" s="414" t="s">
        <v>84</v>
      </c>
      <c r="J42" s="415" t="s">
        <v>398</v>
      </c>
    </row>
    <row r="43" spans="4:10" x14ac:dyDescent="0.3">
      <c r="H43" s="424"/>
      <c r="I43" s="424"/>
      <c r="J43" s="424"/>
    </row>
    <row r="44" spans="4:10" x14ac:dyDescent="0.3">
      <c r="H44" s="419" t="s">
        <v>174</v>
      </c>
      <c r="I44" s="420"/>
      <c r="J44" s="421" t="s">
        <v>304</v>
      </c>
    </row>
    <row r="45" spans="4:10" x14ac:dyDescent="0.3">
      <c r="H45" s="416" t="s">
        <v>68</v>
      </c>
      <c r="I45" s="417" t="s">
        <v>366</v>
      </c>
      <c r="J45" s="418" t="s">
        <v>365</v>
      </c>
    </row>
    <row r="46" spans="4:10" x14ac:dyDescent="0.3">
      <c r="H46" s="416" t="s">
        <v>355</v>
      </c>
      <c r="I46" s="417" t="s">
        <v>176</v>
      </c>
      <c r="J46" s="418" t="s">
        <v>410</v>
      </c>
    </row>
    <row r="47" spans="4:10" x14ac:dyDescent="0.3">
      <c r="H47" s="416" t="str">
        <f>'3 tasche'!Y53</f>
        <v>ξ</v>
      </c>
      <c r="I47" s="417"/>
      <c r="J47" s="418" t="s">
        <v>407</v>
      </c>
    </row>
  </sheetData>
  <mergeCells count="2">
    <mergeCell ref="I8:I9"/>
    <mergeCell ref="J8:J9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2 tasche (asse verticale)</vt:lpstr>
      <vt:lpstr>3 tasche</vt:lpstr>
      <vt:lpstr>Analisi FEM</vt:lpstr>
      <vt:lpstr>x magneti</vt:lpstr>
      <vt:lpstr>Dimensioni pezzi</vt:lpstr>
      <vt:lpstr>List of 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2020-12-06T16:25:53Z</cp:lastPrinted>
  <dcterms:created xsi:type="dcterms:W3CDTF">2020-09-21T13:59:02Z</dcterms:created>
  <dcterms:modified xsi:type="dcterms:W3CDTF">2021-02-24T18:25:46Z</dcterms:modified>
</cp:coreProperties>
</file>